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<sst xmlns="http://schemas.openxmlformats.org/spreadsheetml/2006/main" count="124" uniqueCount="110">
  <si>
    <t>Mesoblast Limited (MSB.AX)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</si>
  <si>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</si>
  <si>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</si>
  <si>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</si>
  <si>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</si>
  <si>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</si>
  <si>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</si>
  <si>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</si>
  <si>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</si>
  <si>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</si>
  <si>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</si>
  <si>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</si>
  <si>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</si>
  <si>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</si>
  <si>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</si>
  <si>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</si>
  <si>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</si>
  <si>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</si>
  <si>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Australian Government 10-year (RBA F2), 2026-10-28</t>
  </si>
  <si>
    <t>Equity risk premium</t>
  </si>
  <si>
    <t>Beta</t>
  </si>
  <si>
    <t>As reported</t>
  </si>
  <si>
    <t>Cost of equity</t>
  </si>
  <si>
    <t>Cost of debt</t>
  </si>
  <si>
    <t>Implied cost of debt of 15.6% is not a credible funding cost, so risk-free + 200bp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</si>
  <si>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</si>
  <si>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</si>
  <si>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</si>
  <si>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</si>
  <si>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</si>
  <si>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</si>
  <si>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</si>
  <si>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</si>
  <si>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</si>
  <si>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</si>
  <si>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</si>
  <si>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</si>
  <si>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</si>
  <si>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</si>
  <si>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</si>
  <si>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</si>
  <si>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</si>
  <si>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</si>
  <si>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</si>
  <si>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</si>
  <si>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</si>
  <si>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</si>
  <si>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</si>
  <si>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</si>
  <si>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</si>
  <si>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</si>
  <si>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</si>
  <si>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</si>
  <si>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</si>
  <si>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</si>
  <si>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</si>
  <si>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</si>
  <si>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</si>
  <si>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</si>
  <si>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</si>
  <si>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</si>
  <si>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</si>
  <si>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</si>
  <si>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</si>
  <si>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</si>
  <si>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</si>
  <si>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</si>
  <si>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</si>
  <si>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</si>
  <si>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</si>
  <si>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</si>
  <si>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</si>
  <si>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</si>
  <si>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</si>
  <si>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</si>
  <si>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</si>
  <si>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</si>
  <si>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</si>
  <si>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</si>
  <si>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1.4336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</si>
  <si>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</si>
  <si>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</si>
  <si>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</si>
  <si>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</si>
  <si>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</si>
  <si>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</si>
  <si>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</si>
  <si>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</si>
  <si>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</si>
  <si>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</si>
  <si>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</si>
  <si>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</si>
  <si>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</si>
  <si>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</si>
  <si>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</si>
  <si>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</si>
  <si>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</si>
  <si>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</si>
  <si>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</si>
  <si>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</si>
  <si>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</si>
  <si>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</si>
  <si>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</si>
  <si>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</si>
  <si>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</si>
  <si>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USD, trades in AUD. Modelled in USD, converted at the end.</t>
  </si>
  <si>
    <t>Adjusted: Reported capital expenditure averages 3.70% of revenue against depreciation and amortisation of 42.76%. A business cannot depreciate more than it invests indefinitely. Capex has been set to 42.76%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</si>
  <si>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Free cashflow is negative in at least one forecast year, so terminal value carries most of the valuation.</t>
  </si>
  <si>
    <t>No usable EV/EBITDA (EBITDA is not positive), so the exit multiple falls back to 8x.</t>
  </si>
  <si>
    <t>Data: Yahoo Finance. Risk-free rate: Australian Government 10-year (RBA F2), 2026-10-28.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</si>
</sst>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-5.705147142364165</v>
      </c>
    </row>
    <row r="8" spans="1:2" x14ac:dyDescent="0.25">
      <c r="A8" t="s">
        <v>5</v>
      </c>
      <c r="B8" s="5">
        <v>0.3</v>
      </c>
    </row>
    <row r="9" spans="1:2" x14ac:dyDescent="0.25">
      <c r="A9" t="s">
        <v>6</v>
      </c>
      <c r="B9" s="5">
        <v>0.4275606889766922</v>
      </c>
    </row>
    <row r="10" spans="1:3" x14ac:dyDescent="0.25">
      <c r="A10" t="s">
        <v>7</v>
      </c>
      <c r="B10" s="5">
        <v>0.4275606889766922</v>
      </c>
      <c r="C10" s="6" t="s">
        <v>8</v>
      </c>
    </row>
    <row r="11" spans="1:2" x14ac:dyDescent="0.25">
      <c r="A11" t="s">
        <v>9</v>
      </c>
      <c r="B11" s="5">
        <v>-0.2693680016851823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5">
        <v>0.0899438072617129</v>
      </c>
      <c r="C14" s="6" t="s">
        <v>13</v>
      </c>
    </row>
    <row r="15" spans="1:3" x14ac:dyDescent="0.25">
      <c r="A15" t="s">
        <v>14</v>
      </c>
      <c r="B15" s="5">
        <v>0.4275606889766922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0.05208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0.93702</v>
      </c>
      <c r="C19" s="6" t="s">
        <v>21</v>
      </c>
    </row>
    <row r="20" spans="1:2" x14ac:dyDescent="0.25">
      <c r="A20" t="s">
        <v>22</v>
      </c>
      <c r="B20" s="9">
        <f>B17+B19*B18</f>
        <v>0.09171594599999999</v>
      </c>
    </row>
    <row r="21" spans="1:3" x14ac:dyDescent="0.25">
      <c r="A21" t="s">
        <v>23</v>
      </c>
      <c r="B21" s="5">
        <v>0.07208</v>
      </c>
      <c r="C21" s="6" t="s">
        <v>24</v>
      </c>
    </row>
    <row r="22" spans="1:2" x14ac:dyDescent="0.25">
      <c r="A22" t="s">
        <v>25</v>
      </c>
      <c r="B22" s="10">
        <v>2837328896</v>
      </c>
    </row>
    <row r="23" spans="1:2" x14ac:dyDescent="0.25">
      <c r="A23" t="s">
        <v>26</v>
      </c>
      <c r="B23" s="10">
        <v>127334000</v>
      </c>
    </row>
    <row r="24" spans="1:2" x14ac:dyDescent="0.25">
      <c r="A24" t="s">
        <v>27</v>
      </c>
      <c r="B24" s="9">
        <f>B22/(B22+B23)</f>
        <v>0.9570494169263554</v>
      </c>
    </row>
    <row r="25" spans="1:2" x14ac:dyDescent="0.25">
      <c r="A25" t="s">
        <v>28</v>
      </c>
      <c r="B25" s="9">
        <f>1-B24</f>
        <v>0.04295058307364463</v>
      </c>
    </row>
    <row r="26" spans="1:2" x14ac:dyDescent="0.25">
      <c r="A26" t="s">
        <v>29</v>
      </c>
      <c r="B26" s="11">
        <f>B24*B20+B25*B21*(1-B8)</f>
        <v>0.0899438072617129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120250000</v>
      </c>
      <c r="C29" s="6" t="s">
        <v>32</v>
      </c>
    </row>
    <row r="30" spans="1:2" x14ac:dyDescent="0.25">
      <c r="A30" t="s">
        <v>33</v>
      </c>
      <c r="B30" s="10">
        <v>79944000</v>
      </c>
    </row>
    <row r="31" spans="1:2" x14ac:dyDescent="0.25">
      <c r="A31" t="s">
        <v>34</v>
      </c>
      <c r="B31" s="12">
        <v>1294866933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0.49285510531473076</v>
      </c>
      <c r="D5" s="5">
        <v>0.4343732171503894</v>
      </c>
      <c r="E5" s="5">
        <v>0.37589132898604805</v>
      </c>
      <c r="F5" s="5">
        <v>0.31740944082170675</v>
      </c>
      <c r="G5" s="5">
        <v>0.2589275526573654</v>
      </c>
      <c r="H5" s="5">
        <v>0.20044566449302403</v>
      </c>
      <c r="I5" s="5">
        <v>0.14196377632868273</v>
      </c>
      <c r="J5" s="5">
        <v>0.08348188816434138</v>
      </c>
      <c r="K5" s="5">
        <v>0.025000000000000022</v>
      </c>
    </row>
    <row r="6" spans="1:11" x14ac:dyDescent="0.25">
      <c r="A6" t="s">
        <v>50</v>
      </c>
      <c r="B6" s="18">
        <f>Assumptions!B29*(1+B5)</f>
        <v>180375000</v>
      </c>
      <c r="C6" s="18">
        <f>B6*(1+C5)</f>
        <v>269273739.62114453</v>
      </c>
      <c r="D6" s="18">
        <f>C6*(1+D5)</f>
        <v>386239040.19449735</v>
      </c>
      <c r="E6" s="18">
        <f>D6*(1+E5)</f>
        <v>531422946.31950253</v>
      </c>
      <c r="F6" s="18">
        <f>E6*(1+F5)</f>
        <v>700101606.5505997</v>
      </c>
      <c r="G6" s="18">
        <f>F6*(1+G5)</f>
        <v>881377202.1462362</v>
      </c>
      <c r="H6" s="18">
        <f>G6*(1+H5)</f>
        <v>1058045441.0994408</v>
      </c>
      <c r="I6" s="18">
        <f>H6*(1+I5)</f>
        <v>1208249567.4452643</v>
      </c>
      <c r="J6" s="18">
        <f>I6*(1+J5)</f>
        <v>1309116522.7093437</v>
      </c>
      <c r="K6" s="18">
        <f>J6*(1+K5)</f>
        <v>1341844435.7770772</v>
      </c>
    </row>
    <row r="7" spans="1:11" x14ac:dyDescent="0.25">
      <c r="A7" t="s">
        <v>4</v>
      </c>
      <c r="B7" s="9">
        <f>Assumptions!B7</f>
        <v>-5.705147142364165</v>
      </c>
      <c r="C7" s="9">
        <f>Assumptions!B7</f>
        <v>-5.705147142364165</v>
      </c>
      <c r="D7" s="9">
        <f>Assumptions!B7</f>
        <v>-5.705147142364165</v>
      </c>
      <c r="E7" s="9">
        <f>Assumptions!B7</f>
        <v>-5.705147142364165</v>
      </c>
      <c r="F7" s="9">
        <f>Assumptions!B7</f>
        <v>-5.705147142364165</v>
      </c>
      <c r="G7" s="9">
        <f>Assumptions!B7</f>
        <v>-5.705147142364165</v>
      </c>
      <c r="H7" s="9">
        <f>Assumptions!B7</f>
        <v>-5.705147142364165</v>
      </c>
      <c r="I7" s="9">
        <f>Assumptions!B7</f>
        <v>-5.705147142364165</v>
      </c>
      <c r="J7" s="9">
        <f>Assumptions!B7</f>
        <v>-5.705147142364165</v>
      </c>
      <c r="K7" s="9">
        <f>Assumptions!B7</f>
        <v>-5.705147142364165</v>
      </c>
    </row>
    <row r="8" spans="1:11" x14ac:dyDescent="0.25">
      <c r="A8" t="s">
        <v>51</v>
      </c>
      <c r="B8" s="18">
        <f>B6*B7</f>
        <v>-1029065915.8039362</v>
      </c>
      <c r="C8" s="18">
        <f>C6*C7</f>
        <v>-1536246306.113285</v>
      </c>
      <c r="D8" s="18">
        <f>D6*D7</f>
        <v>-2203550556.4351144</v>
      </c>
      <c r="E8" s="18">
        <f>E6*E7</f>
        <v>-3031846103.5814548</v>
      </c>
      <c r="F8" s="18">
        <f>F6*F7</f>
        <v>-3994182679.976715</v>
      </c>
      <c r="G8" s="18">
        <f>G6*G7</f>
        <v>-5028386626.169522</v>
      </c>
      <c r="H8" s="18">
        <f>H6*H7</f>
        <v>-6036304924.779907</v>
      </c>
      <c r="I8" s="18">
        <f>I6*I7</f>
        <v>-6893241566.973088</v>
      </c>
      <c r="J8" s="18">
        <f>J6*J7</f>
        <v>-7468702388.556925</v>
      </c>
      <c r="K8" s="18">
        <f>K6*K7</f>
        <v>-7655419948.270847</v>
      </c>
    </row>
    <row r="9" spans="1:11" x14ac:dyDescent="0.25">
      <c r="A9" t="s">
        <v>52</v>
      </c>
      <c r="B9" s="18">
        <f>B8*(1-Assumptions!B8)</f>
        <v>-720346141.0627553</v>
      </c>
      <c r="C9" s="18">
        <f>C8*(1-Assumptions!B8)</f>
        <v>-1075372414.2792995</v>
      </c>
      <c r="D9" s="18">
        <f>D8*(1-Assumptions!B8)</f>
        <v>-1542485389.50458</v>
      </c>
      <c r="E9" s="18">
        <f>E8*(1-Assumptions!B8)</f>
        <v>-2122292272.507018</v>
      </c>
      <c r="F9" s="18">
        <f>F8*(1-Assumptions!B8)</f>
        <v>-2795927875.9837003</v>
      </c>
      <c r="G9" s="18">
        <f>G8*(1-Assumptions!B8)</f>
        <v>-3519870638.3186655</v>
      </c>
      <c r="H9" s="18">
        <f>H8*(1-Assumptions!B8)</f>
        <v>-4225413447.345935</v>
      </c>
      <c r="I9" s="18">
        <f>I8*(1-Assumptions!B8)</f>
        <v>-4825269096.881162</v>
      </c>
      <c r="J9" s="18">
        <f>J8*(1-Assumptions!B8)</f>
        <v>-5228091671.989847</v>
      </c>
      <c r="K9" s="18">
        <f>K8*(1-Assumptions!B8)</f>
        <v>-5358793963.789593</v>
      </c>
    </row>
    <row r="10" spans="1:11" x14ac:dyDescent="0.25">
      <c r="A10" t="s">
        <v>53</v>
      </c>
      <c r="B10" s="18">
        <f>B6*Assumptions!B9</f>
        <v>77121259.27417086</v>
      </c>
      <c r="C10" s="18">
        <f>C6*Assumptions!B9</f>
        <v>115130865.63574697</v>
      </c>
      <c r="D10" s="18">
        <f>D6*Assumptions!B9</f>
        <v>165140630.1352556</v>
      </c>
      <c r="E10" s="18">
        <f>E6*Assumptions!B9</f>
        <v>227215561.06639022</v>
      </c>
      <c r="F10" s="18">
        <f>F6*Assumptions!B9</f>
        <v>299335925.2504635</v>
      </c>
      <c r="G10" s="18">
        <f>G6*Assumptions!B9</f>
        <v>376842243.7979941</v>
      </c>
      <c r="H10" s="18">
        <f>H6*Assumptions!B9</f>
        <v>452378637.7651251</v>
      </c>
      <c r="I10" s="18">
        <f>I6*Assumptions!B9</f>
        <v>516600017.51268756</v>
      </c>
      <c r="J10" s="18">
        <f>J6*Assumptions!B9</f>
        <v>559726762.4003785</v>
      </c>
      <c r="K10" s="18">
        <f>K6*Assumptions!B9</f>
        <v>573719931.460388</v>
      </c>
    </row>
    <row r="11" spans="1:11" x14ac:dyDescent="0.25">
      <c r="A11" t="s">
        <v>54</v>
      </c>
      <c r="B11" s="18">
        <f>-B6*B19</f>
        <v>-77121259.27417086</v>
      </c>
      <c r="C11" s="18">
        <f>-C6*C19</f>
        <v>-115130865.63574697</v>
      </c>
      <c r="D11" s="18">
        <f>-D6*D19</f>
        <v>-165140630.1352556</v>
      </c>
      <c r="E11" s="18">
        <f>-E6*E19</f>
        <v>-227215561.06639022</v>
      </c>
      <c r="F11" s="18">
        <f>-F6*F19</f>
        <v>-299335925.2504635</v>
      </c>
      <c r="G11" s="18">
        <f>-G6*G19</f>
        <v>-376842243.7979941</v>
      </c>
      <c r="H11" s="18">
        <f>-H6*H19</f>
        <v>-452378637.7651251</v>
      </c>
      <c r="I11" s="18">
        <f>-I6*I19</f>
        <v>-516600017.51268756</v>
      </c>
      <c r="J11" s="18">
        <f>-J6*J19</f>
        <v>-559726762.4003785</v>
      </c>
      <c r="K11" s="18">
        <f>-K6*K19</f>
        <v>-573719931.460388</v>
      </c>
    </row>
    <row r="12" spans="1:11" x14ac:dyDescent="0.25">
      <c r="A12" t="s">
        <v>55</v>
      </c>
      <c r="B12" s="18">
        <f>-(B6-Assumptions!B29)*Assumptions!B11</f>
        <v>16195751.101321587</v>
      </c>
      <c r="C12" s="18">
        <f>-(C6-B6)*Assumptions!B11</f>
        <v>23946475.844079044</v>
      </c>
      <c r="D12" s="18">
        <f>-(D6-C6)*Assumptions!B11</f>
        <v>31506709.281950757</v>
      </c>
      <c r="E12" s="18">
        <f>-(E6-D6)*Assumptions!B11</f>
        <v>39107898.66974175</v>
      </c>
      <c r="F12" s="18">
        <f>-(F6-E6)*Assumptions!B11</f>
        <v>45436633.63338447</v>
      </c>
      <c r="G12" s="18">
        <f>-(G6-F6)*Assumptions!B11</f>
        <v>48829844.93988784</v>
      </c>
      <c r="H12" s="18">
        <f>-(H6-G6)*Assumptions!B11</f>
        <v>47588770.48806502</v>
      </c>
      <c r="I12" s="18">
        <f>-(I6-H6)*Assumptions!B11</f>
        <v>40460185.35864313</v>
      </c>
      <c r="J12" s="18">
        <f>-(J6-I6)*Assumptions!B11</f>
        <v>27170330.17555373</v>
      </c>
      <c r="K12" s="18">
        <f>-(K6-J6)*Assumptions!B11</f>
        <v>8815852.542381745</v>
      </c>
    </row>
    <row r="13" spans="1:11" x14ac:dyDescent="0.25">
      <c r="A13" s="19" t="s">
        <v>56</v>
      </c>
      <c r="B13" s="20">
        <f>B9+B10+B11+B12</f>
        <v>-704150389.9614338</v>
      </c>
      <c r="C13" s="20">
        <f>C9+C10+C11+C12</f>
        <v>-1051425938.4352205</v>
      </c>
      <c r="D13" s="20">
        <f>D9+D10+D11+D12</f>
        <v>-1510978680.2226293</v>
      </c>
      <c r="E13" s="20">
        <f>E9+E10+E11+E12</f>
        <v>-2083184373.8372765</v>
      </c>
      <c r="F13" s="20">
        <f>F9+F10+F11+F12</f>
        <v>-2750491242.3503156</v>
      </c>
      <c r="G13" s="20">
        <f>G9+G10+G11+G12</f>
        <v>-3471040793.3787775</v>
      </c>
      <c r="H13" s="20">
        <f>H9+H10+H11+H12</f>
        <v>-4177824676.8578696</v>
      </c>
      <c r="I13" s="20">
        <f>I9+I10+I11+I12</f>
        <v>-4784808911.522518</v>
      </c>
      <c r="J13" s="20">
        <f>J9+J10+J11+J12</f>
        <v>-5200921341.814294</v>
      </c>
      <c r="K13" s="20">
        <f>K9+K10+K11+K12</f>
        <v>-5349978111.247211</v>
      </c>
    </row>
    <row r="14" spans="1:11" x14ac:dyDescent="0.25">
      <c r="A14" t="s">
        <v>57</v>
      </c>
      <c r="B14" s="21">
        <f>1/(1+Assumptions!$B$26)^(1-0.5*Assumptions!$B$32)</f>
        <v>0.9578509755711085</v>
      </c>
      <c r="C14" s="21">
        <f>1/(1+Assumptions!$B$26)^(2-0.5*Assumptions!$B$32)</f>
        <v>0.8788076680554168</v>
      </c>
      <c r="D14" s="21">
        <f>1/(1+Assumptions!$B$26)^(3-0.5*Assumptions!$B$32)</f>
        <v>0.806287133520454</v>
      </c>
      <c r="E14" s="21">
        <f>1/(1+Assumptions!$B$26)^(4-0.5*Assumptions!$B$32)</f>
        <v>0.7397511028996118</v>
      </c>
      <c r="F14" s="21">
        <f>1/(1+Assumptions!$B$26)^(5-0.5*Assumptions!$B$32)</f>
        <v>0.6787057259016893</v>
      </c>
      <c r="G14" s="21">
        <f>1/(1+Assumptions!$B$26)^(6-0.5*Assumptions!$B$32)</f>
        <v>0.6226979055065369</v>
      </c>
      <c r="H14" s="21">
        <f>1/(1+Assumptions!$B$26)^(7-0.5*Assumptions!$B$32)</f>
        <v>0.5713119349436492</v>
      </c>
      <c r="I14" s="21">
        <f>1/(1+Assumptions!$B$26)^(8-0.5*Assumptions!$B$32)</f>
        <v>0.5241664121923563</v>
      </c>
      <c r="J14" s="21">
        <f>1/(1+Assumptions!$B$26)^(9-0.5*Assumptions!$B$32)</f>
        <v>0.4809114091021167</v>
      </c>
      <c r="K14" s="21">
        <f>1/(1+Assumptions!$B$26)^(10-0.5*Assumptions!$B$32)</f>
        <v>0.44122587412127223</v>
      </c>
    </row>
    <row r="15" spans="1:11" x14ac:dyDescent="0.25">
      <c r="A15" s="19" t="s">
        <v>58</v>
      </c>
      <c r="B15" s="20">
        <f>B13*B14</f>
        <v>-674471137.9733359</v>
      </c>
      <c r="C15" s="20">
        <f>C13*C14</f>
        <v>-924001177.0892344</v>
      </c>
      <c r="D15" s="20">
        <f>D13*D14</f>
        <v>-1218282668.8872225</v>
      </c>
      <c r="E15" s="20">
        <f>E13*E14</f>
        <v>-1541037938.0893624</v>
      </c>
      <c r="F15" s="20">
        <f>F13*F14</f>
        <v>-1866774155.2256103</v>
      </c>
      <c r="G15" s="20">
        <f>G13*G14</f>
        <v>-2161409831.964713</v>
      </c>
      <c r="H15" s="20">
        <f>H13*H14</f>
        <v>-2386841099.9909954</v>
      </c>
      <c r="I15" s="20">
        <f>I13*I14</f>
        <v>-2508036120.178772</v>
      </c>
      <c r="J15" s="20">
        <f>J13*J14</f>
        <v>-2501182411.121184</v>
      </c>
      <c r="K15" s="20">
        <f>K13*K14</f>
        <v>-2360548768.664724</v>
      </c>
    </row>
    <row r="17" spans="1:2" x14ac:dyDescent="0.25">
      <c r="A17" s="22" t="s">
        <v>59</v>
      </c>
      <c r="B17" s="23">
        <f>SUM(B15:K15)</f>
        <v>-18142585309.185154</v>
      </c>
    </row>
    <row r="19" spans="1:11" x14ac:dyDescent="0.25">
      <c r="A19" t="s">
        <v>7</v>
      </c>
      <c r="B19" s="9">
        <f>Assumptions!$B$10+($B$20-Assumptions!$B$10)*0/9</f>
        <v>0.4275606889766922</v>
      </c>
      <c r="C19" s="9">
        <f>Assumptions!$B$10+($B$20-Assumptions!$B$10)*1/9</f>
        <v>0.4275606889766922</v>
      </c>
      <c r="D19" s="9">
        <f>Assumptions!$B$10+($B$20-Assumptions!$B$10)*2/9</f>
        <v>0.4275606889766922</v>
      </c>
      <c r="E19" s="9">
        <f>Assumptions!$B$10+($B$20-Assumptions!$B$10)*3/9</f>
        <v>0.4275606889766922</v>
      </c>
      <c r="F19" s="9">
        <f>Assumptions!$B$10+($B$20-Assumptions!$B$10)*4/9</f>
        <v>0.4275606889766922</v>
      </c>
      <c r="G19" s="9">
        <f>Assumptions!$B$10+($B$20-Assumptions!$B$10)*5/9</f>
        <v>0.4275606889766922</v>
      </c>
      <c r="H19" s="9">
        <f>Assumptions!$B$10+($B$20-Assumptions!$B$10)*6/9</f>
        <v>0.4275606889766922</v>
      </c>
      <c r="I19" s="9">
        <f>Assumptions!$B$10+($B$20-Assumptions!$B$10)*7/9</f>
        <v>0.4275606889766922</v>
      </c>
      <c r="J19" s="9">
        <f>Assumptions!$B$10+($B$20-Assumptions!$B$10)*8/9</f>
        <v>0.4275606889766922</v>
      </c>
      <c r="K19" s="9">
        <f>Assumptions!$B$10+($B$20-Assumptions!$B$10)*9/9</f>
        <v>0.4275606889766922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0.4275606889766922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-5349978111.247211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-5358793963.789593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0.27795132050899907</v>
      </c>
    </row>
    <row r="7" spans="1:2" x14ac:dyDescent="0.25">
      <c r="A7" t="s">
        <v>66</v>
      </c>
      <c r="B7" s="18">
        <f>-MAX(B5,0)*B6</f>
        <v>0</v>
      </c>
    </row>
    <row r="8" spans="1:2" x14ac:dyDescent="0.25">
      <c r="A8" t="s">
        <v>67</v>
      </c>
      <c r="B8" s="18">
        <f>IF(OR(Assumptions!$B$33=0,Assumptions!B12&lt;=0),B5,MAX(B5+B7,0))</f>
        <v>0</v>
      </c>
    </row>
    <row r="9" spans="1:2" x14ac:dyDescent="0.25">
      <c r="A9" t="s">
        <v>68</v>
      </c>
      <c r="B9" s="18">
        <f>B8*(1+Assumptions!B12)/(Assumptions!B26-Assumptions!B12)</f>
        <v>0</v>
      </c>
    </row>
    <row r="10" spans="1:2" x14ac:dyDescent="0.25">
      <c r="A10" t="s">
        <v>69</v>
      </c>
      <c r="B10" s="18">
        <f>B9/(1+Assumptions!B26)^(10-0.5*Assumptions!B32)</f>
        <v>0</v>
      </c>
    </row>
    <row r="11" spans="1:2" x14ac:dyDescent="0.25">
      <c r="A11" t="s">
        <v>70</v>
      </c>
      <c r="B11" s="18">
        <f>Forecast!B17+B10</f>
        <v>-18142585309.185154</v>
      </c>
    </row>
    <row r="12" spans="1:2" x14ac:dyDescent="0.25">
      <c r="A12" t="s">
        <v>71</v>
      </c>
      <c r="B12" s="18">
        <f>-Assumptions!B30</f>
        <v>-79944000</v>
      </c>
    </row>
    <row r="13" spans="1:2" x14ac:dyDescent="0.25">
      <c r="A13" t="s">
        <v>72</v>
      </c>
      <c r="B13" s="18">
        <f>B11+B12</f>
        <v>-18222529309.185154</v>
      </c>
    </row>
    <row r="14" spans="1:2" x14ac:dyDescent="0.25">
      <c r="A14" s="19" t="s">
        <v>73</v>
      </c>
      <c r="B14" s="24">
        <f>B13/Assumptions!B31</f>
        <v>-14.072897256682941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-7081700016.810459</v>
      </c>
    </row>
    <row r="18" spans="1:2" x14ac:dyDescent="0.25">
      <c r="A18" t="s">
        <v>68</v>
      </c>
      <c r="B18" s="18">
        <f>B17*Assumptions!B13</f>
        <v>-56653600134.48367</v>
      </c>
    </row>
    <row r="19" spans="1:2" x14ac:dyDescent="0.25">
      <c r="A19" t="s">
        <v>69</v>
      </c>
      <c r="B19" s="18">
        <f>B18/(1+Assumptions!B26)^(10-0.5*Assumptions!B32)</f>
        <v>-24997034241.454586</v>
      </c>
    </row>
    <row r="20" spans="1:2" x14ac:dyDescent="0.25">
      <c r="A20" t="s">
        <v>70</v>
      </c>
      <c r="B20" s="18">
        <f>Forecast!B17+B19</f>
        <v>-43139619550.63974</v>
      </c>
    </row>
    <row r="21" spans="1:2" x14ac:dyDescent="0.25">
      <c r="A21" t="s">
        <v>71</v>
      </c>
      <c r="B21" s="18">
        <f>-Assumptions!B30</f>
        <v>-79944000</v>
      </c>
    </row>
    <row r="22" spans="1:2" x14ac:dyDescent="0.25">
      <c r="A22" t="s">
        <v>72</v>
      </c>
      <c r="B22" s="18">
        <f>B20+B21</f>
        <v>-43219563550.63974</v>
      </c>
    </row>
    <row r="23" spans="1:2" x14ac:dyDescent="0.25">
      <c r="A23" s="19" t="s">
        <v>73</v>
      </c>
      <c r="B23" s="25">
        <f>B22/Assumptions!B31</f>
        <v>-33.37761004561828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2.185</v>
      </c>
    </row>
    <row r="27" spans="1:3" x14ac:dyDescent="0.25">
      <c r="A27" t="s">
        <v>78</v>
      </c>
      <c r="B27" s="27">
        <v>1.4336</v>
      </c>
      <c r="C27" s="6" t="s">
        <v>79</v>
      </c>
    </row>
    <row r="28" spans="1:2" x14ac:dyDescent="0.25">
      <c r="A28" t="s">
        <v>80</v>
      </c>
      <c r="B28" s="28">
        <f>B14*B27</f>
        <v>-20.174905507180664</v>
      </c>
    </row>
    <row r="29" spans="1:2" x14ac:dyDescent="0.25">
      <c r="A29" s="19" t="s">
        <v>81</v>
      </c>
      <c r="B29" s="11">
        <f>B28/B26-1</f>
        <v>-10.233366364842409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0.069944</v>
      </c>
      <c r="B5" s="31">
        <v>-15.730820469475242</v>
      </c>
      <c r="C5" s="31">
        <v>-15.730820469475242</v>
      </c>
      <c r="D5" s="31">
        <v>-15.730820469475242</v>
      </c>
      <c r="E5" s="31">
        <v>-15.730820469475242</v>
      </c>
      <c r="F5" s="31">
        <v>-15.730820469475242</v>
      </c>
    </row>
    <row r="6" spans="1:6" x14ac:dyDescent="0.25">
      <c r="A6" s="30">
        <v>0.079944</v>
      </c>
      <c r="B6" s="31">
        <v>-14.870713739699807</v>
      </c>
      <c r="C6" s="31">
        <v>-14.870713739699807</v>
      </c>
      <c r="D6" s="31">
        <v>-14.870713739699807</v>
      </c>
      <c r="E6" s="31">
        <v>-14.870713739699807</v>
      </c>
      <c r="F6" s="31">
        <v>-14.870713739699807</v>
      </c>
    </row>
    <row r="7" spans="1:6" x14ac:dyDescent="0.25">
      <c r="A7" s="30">
        <v>0.089944</v>
      </c>
      <c r="B7" s="31">
        <v>-14.072882444764726</v>
      </c>
      <c r="C7" s="31">
        <v>-14.072882444764726</v>
      </c>
      <c r="D7" s="32">
        <v>-14.072882444764726</v>
      </c>
      <c r="E7" s="31">
        <v>-14.072882444764726</v>
      </c>
      <c r="F7" s="31">
        <v>-14.072882444764726</v>
      </c>
    </row>
    <row r="8" spans="1:6" x14ac:dyDescent="0.25">
      <c r="A8" s="30">
        <v>0.099944</v>
      </c>
      <c r="B8" s="31">
        <v>-13.33204364687512</v>
      </c>
      <c r="C8" s="31">
        <v>-13.33204364687512</v>
      </c>
      <c r="D8" s="31">
        <v>-13.33204364687512</v>
      </c>
      <c r="E8" s="31">
        <v>-13.33204364687512</v>
      </c>
      <c r="F8" s="31">
        <v>-13.33204364687512</v>
      </c>
    </row>
    <row r="9" spans="1:6" x14ac:dyDescent="0.25">
      <c r="A9" s="30">
        <v>0.109944</v>
      </c>
      <c r="B9" s="31">
        <v>-12.643418716104682</v>
      </c>
      <c r="C9" s="31">
        <v>-12.643418716104682</v>
      </c>
      <c r="D9" s="31">
        <v>-12.643418716104682</v>
      </c>
      <c r="E9" s="31">
        <v>-12.643418716104682</v>
      </c>
      <c r="F9" s="31">
        <v>-12.643418716104682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120250000</v>
      </c>
      <c r="C5" s="18">
        <v>17198000</v>
      </c>
      <c r="D5" s="18">
        <v>5902000</v>
      </c>
      <c r="E5" s="18">
        <v>7501000</v>
      </c>
      <c r="F5" s="6" t="s">
        <v>91</v>
      </c>
    </row>
    <row r="6" spans="1:6" x14ac:dyDescent="0.25">
      <c r="A6" t="s">
        <v>51</v>
      </c>
      <c r="B6" s="18">
        <v>-51250000</v>
      </c>
      <c r="C6" s="18">
        <v>-62443000</v>
      </c>
      <c r="D6" s="18">
        <v>-56224000</v>
      </c>
      <c r="E6" s="18">
        <v>-69289000</v>
      </c>
      <c r="F6" s="6" t="s">
        <v>92</v>
      </c>
    </row>
    <row r="7" spans="1:6" x14ac:dyDescent="0.25">
      <c r="A7" t="s">
        <v>93</v>
      </c>
      <c r="B7" s="18">
        <v>0</v>
      </c>
      <c r="C7" s="18">
        <v>6400000</v>
      </c>
      <c r="D7" s="18">
        <v>4666000</v>
      </c>
      <c r="E7" s="18">
        <v>4107000</v>
      </c>
      <c r="F7" s="6" t="s">
        <v>94</v>
      </c>
    </row>
    <row r="8" spans="1:6" x14ac:dyDescent="0.25">
      <c r="A8" t="s">
        <v>95</v>
      </c>
      <c r="B8" s="18">
        <v>898000</v>
      </c>
      <c r="C8" s="18">
        <v>730000</v>
      </c>
      <c r="D8" s="18">
        <v>331000</v>
      </c>
      <c r="E8" s="18">
        <v>314000</v>
      </c>
      <c r="F8" s="6" t="s">
        <v>96</v>
      </c>
    </row>
    <row r="9" spans="1:6" x14ac:dyDescent="0.25">
      <c r="A9" t="s">
        <v>97</v>
      </c>
      <c r="B9" s="18">
        <v>32655000</v>
      </c>
      <c r="C9" s="18">
        <v>3042000</v>
      </c>
      <c r="D9" s="18">
        <v>2631000</v>
      </c>
      <c r="E9" s="18">
        <v>2472000</v>
      </c>
      <c r="F9" s="6" t="s">
        <v>94</v>
      </c>
    </row>
    <row r="10" spans="1:6" x14ac:dyDescent="0.25">
      <c r="A10" t="s">
        <v>98</v>
      </c>
      <c r="B10" s="18">
        <v>127334000</v>
      </c>
      <c r="C10" s="18">
        <v>128157000</v>
      </c>
      <c r="D10" s="18">
        <v>118923000</v>
      </c>
      <c r="E10" s="18">
        <v>116495000</v>
      </c>
      <c r="F10" s="6" t="s">
        <v>99</v>
      </c>
    </row>
    <row r="11" spans="1:6" x14ac:dyDescent="0.25">
      <c r="A11" t="s">
        <v>100</v>
      </c>
      <c r="B11" s="18">
        <v>47390000</v>
      </c>
      <c r="C11" s="18">
        <v>161158000</v>
      </c>
      <c r="D11" s="18">
        <v>62563000</v>
      </c>
      <c r="E11" s="18">
        <v>70920000</v>
      </c>
      <c r="F11" s="6" t="s">
        <v>101</v>
      </c>
    </row>
    <row r="12" spans="1:6" x14ac:dyDescent="0.25">
      <c r="A12" t="s">
        <v>34</v>
      </c>
      <c r="B12" s="34">
        <v>1294866933</v>
      </c>
      <c r="C12" s="34">
        <v>1207793132</v>
      </c>
      <c r="D12" s="34">
        <v>986702919</v>
      </c>
      <c r="E12" s="34">
        <v>777719091</v>
      </c>
      <c r="F12" s="6" t="s">
        <v>102</v>
      </c>
    </row>
    <row r="15" spans="1:1" x14ac:dyDescent="0.25">
      <c r="A15" s="19" t="s">
        <v>103</v>
      </c>
    </row>
    <row r="16" ht="22" customHeight="1" spans="1:6" x14ac:dyDescent="0.25">
      <c r="A16" s="35" t="s">
        <v>104</v>
      </c>
      <c r="B16" s="35"/>
      <c r="C16" s="35"/>
      <c r="D16" s="35"/>
      <c r="E16" s="35"/>
      <c r="F16" s="35"/>
    </row>
    <row r="17" ht="22" customHeight="1" spans="1:6" x14ac:dyDescent="0.25">
      <c r="A17" s="35" t="s">
        <v>105</v>
      </c>
      <c r="B17" s="35"/>
      <c r="C17" s="35"/>
      <c r="D17" s="35"/>
      <c r="E17" s="35"/>
      <c r="F17" s="35"/>
    </row>
    <row r="18" ht="70" customHeight="1" spans="1:6" x14ac:dyDescent="0.25">
      <c r="A18" s="35" t="s">
        <v>106</v>
      </c>
      <c r="B18" s="35"/>
      <c r="C18" s="35"/>
      <c r="D18" s="35"/>
      <c r="E18" s="35"/>
      <c r="F18" s="35"/>
    </row>
    <row r="19" ht="22" customHeight="1" spans="1:6" x14ac:dyDescent="0.25">
      <c r="A19" s="35" t="s">
        <v>107</v>
      </c>
      <c r="B19" s="35"/>
      <c r="C19" s="35"/>
      <c r="D19" s="35"/>
      <c r="E19" s="35"/>
      <c r="F19" s="35"/>
    </row>
    <row r="20" ht="22" customHeight="1" spans="1:6" x14ac:dyDescent="0.25">
      <c r="A20" s="35" t="s">
        <v>108</v>
      </c>
      <c r="B20" s="35"/>
      <c r="C20" s="35"/>
      <c r="D20" s="35"/>
      <c r="E20" s="35"/>
      <c r="F20" s="35"/>
    </row>
    <row r="22" spans="1:1" x14ac:dyDescent="0.25">
      <c r="A22" s="36" t="s">
        <v>109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