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<sst xmlns="http://schemas.openxmlformats.org/spreadsheetml/2006/main" count="121" uniqueCount="108">
  <si>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MSCI Inc. (MSCI)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</si>
  <si>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</si>
  <si>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</si>
  <si>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</si>
  <si>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</si>
  <si>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</si>
  <si>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</si>
  <si>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</si>
  <si>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</si>
  <si>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</si>
  <si>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</si>
  <si>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</si>
  <si>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</si>
  <si>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</si>
  <si>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</si>
  <si>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</si>
  <si>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</si>
  <si>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</si>
  <si>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</si>
  <si>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</si>
  <si>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</si>
  <si>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</si>
  <si>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</si>
  <si>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</si>
  <si>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8.2x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</si>
  <si>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</si>
  <si>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</si>
  <si>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</si>
  <si>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</si>
  <si>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</si>
  <si>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</si>
  <si>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</si>
  <si>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</si>
  <si>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</si>
  <si>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</si>
  <si>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</si>
  <si>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</si>
  <si>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</si>
  <si>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</si>
  <si>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</si>
  <si>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</si>
  <si>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</si>
  <si>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</si>
  <si>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</si>
  <si>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</si>
  <si>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</si>
  <si>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</si>
  <si>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</si>
  <si>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</si>
  <si>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</si>
  <si>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</si>
  <si>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</si>
  <si>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</si>
  <si>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</si>
  <si>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</si>
  <si>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</si>
  <si>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</si>
  <si>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</si>
  <si>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</si>
  <si>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</si>
  <si>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</si>
  <si>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</si>
  <si>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</si>
  <si>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</si>
  <si>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</si>
  <si>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</si>
  <si>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</si>
  <si>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</si>
  <si>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</si>
  <si>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</si>
  <si>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</si>
  <si>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</si>
  <si>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</si>
  <si>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</si>
  <si>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</si>
  <si>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</si>
  <si>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</si>
  <si>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</si>
  <si>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</si>
  <si>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</si>
  <si>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</si>
  <si>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</si>
  <si>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</si>
  <si>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</si>
  <si>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</si>
  <si>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</si>
  <si>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</si>
  <si>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</si>
  <si>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</si>
  <si>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</si>
  <si>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</si>
  <si>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</si>
  <si>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</si>
  <si>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</si>
  <si>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</si>
  <si>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</si>
  <si>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</si>
  <si>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</si>
  <si>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</si>
  <si>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</si>
  <si>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</si>
  <si>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</si>
  <si>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</si>
  <si>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</si>
  <si>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</si>
  <si>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</si>
  <si>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Current EV/EBITDA of 26.5x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</si>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</sst>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0.12474638526137993</v>
      </c>
    </row>
    <row r="7" spans="1:2" x14ac:dyDescent="0.25">
      <c r="A7" t="s">
        <v>4</v>
      </c>
      <c r="B7" s="5">
        <v>0.5416079053259347</v>
      </c>
    </row>
    <row r="8" spans="1:2" x14ac:dyDescent="0.25">
      <c r="A8" t="s">
        <v>5</v>
      </c>
      <c r="B8" s="5">
        <v>0.17407555988449266</v>
      </c>
    </row>
    <row r="9" spans="1:2" x14ac:dyDescent="0.25">
      <c r="A9" t="s">
        <v>6</v>
      </c>
      <c r="B9" s="5">
        <v>0.06707089114292969</v>
      </c>
    </row>
    <row r="10" spans="1:3" x14ac:dyDescent="0.25">
      <c r="A10" t="s">
        <v>7</v>
      </c>
      <c r="B10" s="5">
        <v>0.037519633002096306</v>
      </c>
      <c r="C10" s="6" t="s">
        <v>8</v>
      </c>
    </row>
    <row r="11" spans="1:2" x14ac:dyDescent="0.25">
      <c r="A11" t="s">
        <v>9</v>
      </c>
      <c r="B11" s="5">
        <v>0.29908425195594773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0.3285225321713579</v>
      </c>
      <c r="C14" s="6" t="s">
        <v>13</v>
      </c>
    </row>
    <row r="15" spans="1:3" x14ac:dyDescent="0.25">
      <c r="A15" t="s">
        <v>14</v>
      </c>
      <c r="B15" s="5">
        <v>0.017756828433481593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1.1587900000000002</v>
      </c>
      <c r="C19" s="6" t="s">
        <v>21</v>
      </c>
    </row>
    <row r="20" spans="1:2" x14ac:dyDescent="0.25">
      <c r="A20" t="s">
        <v>22</v>
      </c>
      <c r="B20" s="9">
        <f>B17+B19*B18</f>
        <v>0.097956817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45319725056</v>
      </c>
    </row>
    <row r="23" spans="1:2" x14ac:dyDescent="0.25">
      <c r="A23" t="s">
        <v>26</v>
      </c>
      <c r="B23" s="10">
        <v>6309817000</v>
      </c>
    </row>
    <row r="24" spans="1:2" x14ac:dyDescent="0.25">
      <c r="A24" t="s">
        <v>27</v>
      </c>
      <c r="B24" s="9">
        <f>B22/(B22+B23)</f>
        <v>0.8777866944247529</v>
      </c>
    </row>
    <row r="25" spans="1:2" x14ac:dyDescent="0.25">
      <c r="A25" t="s">
        <v>28</v>
      </c>
      <c r="B25" s="9">
        <f>1-B24</f>
        <v>0.12221330557524712</v>
      </c>
    </row>
    <row r="26" spans="1:2" x14ac:dyDescent="0.25">
      <c r="A26" t="s">
        <v>29</v>
      </c>
      <c r="B26" s="11">
        <f>B24*B20+B25*B21*(1-B8)</f>
        <v>0.09148030735445516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3134459000</v>
      </c>
      <c r="C29" s="6" t="s">
        <v>32</v>
      </c>
    </row>
    <row r="30" spans="1:2" x14ac:dyDescent="0.25">
      <c r="A30" t="s">
        <v>33</v>
      </c>
      <c r="B30" s="10">
        <v>5798152000</v>
      </c>
    </row>
    <row r="31" spans="1:2" x14ac:dyDescent="0.25">
      <c r="A31" t="s">
        <v>34</v>
      </c>
      <c r="B31" s="12">
        <v>76636000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0.12474638526137993</v>
      </c>
      <c r="C5" s="5">
        <v>0.09053596273222397</v>
      </c>
      <c r="D5" s="5">
        <v>0.08234396739069598</v>
      </c>
      <c r="E5" s="5">
        <v>0.07415197204916799</v>
      </c>
      <c r="F5" s="5">
        <v>0.06595997670763998</v>
      </c>
      <c r="G5" s="5">
        <v>0.057767981366111984</v>
      </c>
      <c r="H5" s="5">
        <v>0.04957598602458399</v>
      </c>
      <c r="I5" s="5">
        <v>0.04138399068305599</v>
      </c>
      <c r="J5" s="5">
        <v>0.03319199534152799</v>
      </c>
      <c r="K5" s="5">
        <v>0.024999999999999994</v>
      </c>
    </row>
    <row r="6" spans="1:11" x14ac:dyDescent="0.25">
      <c r="A6" t="s">
        <v>50</v>
      </c>
      <c r="B6" s="18">
        <f>Assumptions!B29*(1+B5)</f>
        <v>3525471429.9999995</v>
      </c>
      <c r="C6" s="18">
        <f>B6*(1+C5)</f>
        <v>3844653380</v>
      </c>
      <c r="D6" s="18">
        <f>C6*(1+D5)</f>
        <v>4161237392.5512495</v>
      </c>
      <c r="E6" s="18">
        <f>D6*(1+E5)</f>
        <v>4469801351.373662</v>
      </c>
      <c r="F6" s="18">
        <f>E6*(1+F5)</f>
        <v>4764629344.3980465</v>
      </c>
      <c r="G6" s="18">
        <f>F6*(1+G5)</f>
        <v>5039872363.581663</v>
      </c>
      <c r="H6" s="18">
        <f>G6*(1+H5)</f>
        <v>5289729005.444274</v>
      </c>
      <c r="I6" s="18">
        <f>H6*(1+I5)</f>
        <v>5508639101.321471</v>
      </c>
      <c r="J6" s="18">
        <f>I6*(1+J5)</f>
        <v>5691481824.710692</v>
      </c>
      <c r="K6" s="18">
        <f>J6*(1+K5)</f>
        <v>5833768870.328459</v>
      </c>
    </row>
    <row r="7" spans="1:11" x14ac:dyDescent="0.25">
      <c r="A7" t="s">
        <v>4</v>
      </c>
      <c r="B7" s="9">
        <f>Assumptions!B7</f>
        <v>0.5416079053259347</v>
      </c>
      <c r="C7" s="9">
        <f>Assumptions!B7</f>
        <v>0.5416079053259347</v>
      </c>
      <c r="D7" s="9">
        <f>Assumptions!B7</f>
        <v>0.5416079053259347</v>
      </c>
      <c r="E7" s="9">
        <f>Assumptions!B7</f>
        <v>0.5416079053259347</v>
      </c>
      <c r="F7" s="9">
        <f>Assumptions!B7</f>
        <v>0.5416079053259347</v>
      </c>
      <c r="G7" s="9">
        <f>Assumptions!B7</f>
        <v>0.5416079053259347</v>
      </c>
      <c r="H7" s="9">
        <f>Assumptions!B7</f>
        <v>0.5416079053259347</v>
      </c>
      <c r="I7" s="9">
        <f>Assumptions!B7</f>
        <v>0.5416079053259347</v>
      </c>
      <c r="J7" s="9">
        <f>Assumptions!B7</f>
        <v>0.5416079053259347</v>
      </c>
      <c r="K7" s="9">
        <f>Assumptions!B7</f>
        <v>0.5416079053259347</v>
      </c>
    </row>
    <row r="8" spans="1:11" x14ac:dyDescent="0.25">
      <c r="A8" t="s">
        <v>51</v>
      </c>
      <c r="B8" s="18">
        <f>B6*B7</f>
        <v>1909423196.4887273</v>
      </c>
      <c r="C8" s="18">
        <f>C6*C7</f>
        <v>2082294663.846075</v>
      </c>
      <c r="D8" s="18">
        <f>D6*D7</f>
        <v>2253759067.7436366</v>
      </c>
      <c r="E8" s="18">
        <f>E6*E7</f>
        <v>2420879747.1405215</v>
      </c>
      <c r="F8" s="18">
        <f>F6*F7</f>
        <v>2580560918.8739076</v>
      </c>
      <c r="G8" s="18">
        <f>G6*G7</f>
        <v>2729634713.9495325</v>
      </c>
      <c r="H8" s="18">
        <f>H6*H7</f>
        <v>2864959046.380513</v>
      </c>
      <c r="I8" s="18">
        <f>I6*I7</f>
        <v>2983522484.8632617</v>
      </c>
      <c r="J8" s="18">
        <f>J6*J7</f>
        <v>3082551549.282187</v>
      </c>
      <c r="K8" s="18">
        <f>K6*K7</f>
        <v>3159615338.014241</v>
      </c>
    </row>
    <row r="9" spans="1:11" x14ac:dyDescent="0.25">
      <c r="A9" t="s">
        <v>52</v>
      </c>
      <c r="B9" s="18">
        <f>B8*(1-Assumptions!B8)</f>
        <v>1577039284.5035145</v>
      </c>
      <c r="C9" s="18">
        <f>C8*(1-Assumptions!B8)</f>
        <v>1719818054.3925781</v>
      </c>
      <c r="D9" s="18">
        <f>D8*(1-Assumptions!B8)</f>
        <v>1861434696.1814108</v>
      </c>
      <c r="E9" s="18">
        <f>E8*(1-Assumptions!B8)</f>
        <v>1999463749.7440064</v>
      </c>
      <c r="F9" s="18">
        <f>F8*(1-Assumptions!B8)</f>
        <v>2131348332.1048913</v>
      </c>
      <c r="G9" s="18">
        <f>G8*(1-Assumptions!B8)</f>
        <v>2254472022.8386207</v>
      </c>
      <c r="H9" s="18">
        <f>H8*(1-Assumptions!B8)</f>
        <v>2366239696.3356833</v>
      </c>
      <c r="I9" s="18">
        <f>I8*(1-Assumptions!B8)</f>
        <v>2464164137.8827167</v>
      </c>
      <c r="J9" s="18">
        <f>J8*(1-Assumptions!B8)</f>
        <v>2545954662.46808</v>
      </c>
      <c r="K9" s="18">
        <f>K8*(1-Assumptions!B8)</f>
        <v>2609603529.029782</v>
      </c>
    </row>
    <row r="10" spans="1:11" x14ac:dyDescent="0.25">
      <c r="A10" t="s">
        <v>53</v>
      </c>
      <c r="B10" s="18">
        <f>B6*Assumptions!B9</f>
        <v>236456510.50903863</v>
      </c>
      <c r="C10" s="18">
        <f>C6*Assumptions!B9</f>
        <v>257864328.3322767</v>
      </c>
      <c r="D10" s="18">
        <f>D6*Assumptions!B9</f>
        <v>279097900.17569345</v>
      </c>
      <c r="E10" s="18">
        <f>E6*Assumptions!B9</f>
        <v>299793559.8685029</v>
      </c>
      <c r="F10" s="18">
        <f>F6*Assumptions!B9</f>
        <v>319567936.0945298</v>
      </c>
      <c r="G10" s="18">
        <f>G6*Assumptions!B9</f>
        <v>338028730.67204547</v>
      </c>
      <c r="H10" s="18">
        <f>H6*Assumptions!B9</f>
        <v>354786838.2997506</v>
      </c>
      <c r="I10" s="18">
        <f>I6*Assumptions!B9</f>
        <v>369469333.5104184</v>
      </c>
      <c r="J10" s="18">
        <f>J6*Assumptions!B9</f>
        <v>381732757.9071337</v>
      </c>
      <c r="K10" s="18">
        <f>K6*Assumptions!B9</f>
        <v>391276076.85481197</v>
      </c>
    </row>
    <row r="11" spans="1:11" x14ac:dyDescent="0.25">
      <c r="A11" t="s">
        <v>54</v>
      </c>
      <c r="B11" s="18">
        <f>-B6*B19</f>
        <v>-132274394.21297564</v>
      </c>
      <c r="C11" s="18">
        <f>-C6*C19</f>
        <v>-151673362.871457</v>
      </c>
      <c r="D11" s="18">
        <f>-D6*D19</f>
        <v>-172197398.83243996</v>
      </c>
      <c r="E11" s="18">
        <f>-E6*E19</f>
        <v>-193596610.1584967</v>
      </c>
      <c r="F11" s="18">
        <f>-F6*F19</f>
        <v>-215565935.9426945</v>
      </c>
      <c r="G11" s="18">
        <f>-G6*G19</f>
        <v>-237749890.77700275</v>
      </c>
      <c r="H11" s="18">
        <f>-H6*H19</f>
        <v>-259750153.0544491</v>
      </c>
      <c r="I11" s="18">
        <f>-I6*I19</f>
        <v>-281135906.5593431</v>
      </c>
      <c r="J11" s="18">
        <f>-J6*J19</f>
        <v>-301456662.39719</v>
      </c>
      <c r="K11" s="18">
        <f>-K6*K19</f>
        <v>-320257105.4475374</v>
      </c>
    </row>
    <row r="12" spans="1:11" x14ac:dyDescent="0.25">
      <c r="A12" t="s">
        <v>55</v>
      </c>
      <c r="B12" s="18">
        <f>-(B6-Assumptions!B29)*Assumptions!B11</f>
        <v>-116945660.13202724</v>
      </c>
      <c r="C12" s="18">
        <f>-(C6-B6)*Assumptions!B11</f>
        <v>-95462294.75359085</v>
      </c>
      <c r="D12" s="18">
        <f>-(D6-C6)*Assumptions!B11</f>
        <v>-94685292.57510282</v>
      </c>
      <c r="E12" s="18">
        <f>-(E6-D6)*Assumptions!B11</f>
        <v>-92286620.8049671</v>
      </c>
      <c r="F12" s="18">
        <f>-(F6-E6)*Assumptions!B11</f>
        <v>-88178409.74937141</v>
      </c>
      <c r="G12" s="18">
        <f>-(G6-F6)*Assumptions!B11</f>
        <v>-82320852.49862856</v>
      </c>
      <c r="H12" s="18">
        <f>-(H6-G6)*Assumptions!B11</f>
        <v>-74728186.82770409</v>
      </c>
      <c r="I12" s="18">
        <f>-(I6-H6)*Assumptions!B11</f>
        <v>-65472562.27103634</v>
      </c>
      <c r="J12" s="18">
        <f>-(J6-I6)*Assumptions!B11</f>
        <v>-54685379.150453486</v>
      </c>
      <c r="K12" s="18">
        <f>-(K6-J6)*Assumptions!B11</f>
        <v>-42555814.601611465</v>
      </c>
    </row>
    <row r="13" spans="1:11" x14ac:dyDescent="0.25">
      <c r="A13" s="19" t="s">
        <v>56</v>
      </c>
      <c r="B13" s="20">
        <f>B9+B10+B11+B12</f>
        <v>1564275740.6675503</v>
      </c>
      <c r="C13" s="20">
        <f>C9+C10+C11+C12</f>
        <v>1730546725.099807</v>
      </c>
      <c r="D13" s="20">
        <f>D9+D10+D11+D12</f>
        <v>1873649904.9495616</v>
      </c>
      <c r="E13" s="20">
        <f>E9+E10+E11+E12</f>
        <v>2013374078.6490455</v>
      </c>
      <c r="F13" s="20">
        <f>F9+F10+F11+F12</f>
        <v>2147171922.5073547</v>
      </c>
      <c r="G13" s="20">
        <f>G9+G10+G11+G12</f>
        <v>2272430010.2350345</v>
      </c>
      <c r="H13" s="20">
        <f>H9+H10+H11+H12</f>
        <v>2386548194.753281</v>
      </c>
      <c r="I13" s="20">
        <f>I9+I10+I11+I12</f>
        <v>2487025002.5627556</v>
      </c>
      <c r="J13" s="20">
        <f>J9+J10+J11+J12</f>
        <v>2571545378.82757</v>
      </c>
      <c r="K13" s="20">
        <f>K9+K10+K11+K12</f>
        <v>2638066685.835445</v>
      </c>
    </row>
    <row r="14" spans="1:11" x14ac:dyDescent="0.25">
      <c r="A14" t="s">
        <v>57</v>
      </c>
      <c r="B14" s="21">
        <f>1/(1+Assumptions!$B$26)^(1-0.5*Assumptions!$B$32)</f>
        <v>0.9571765445176845</v>
      </c>
      <c r="C14" s="21">
        <f>1/(1+Assumptions!$B$26)^(2-0.5*Assumptions!$B$32)</f>
        <v>0.8769526468486656</v>
      </c>
      <c r="D14" s="21">
        <f>1/(1+Assumptions!$B$26)^(3-0.5*Assumptions!$B$32)</f>
        <v>0.8034525597390165</v>
      </c>
      <c r="E14" s="21">
        <f>1/(1+Assumptions!$B$26)^(4-0.5*Assumptions!$B$32)</f>
        <v>0.7361127400332451</v>
      </c>
      <c r="F14" s="21">
        <f>1/(1+Assumptions!$B$26)^(5-0.5*Assumptions!$B$32)</f>
        <v>0.6744168768536422</v>
      </c>
      <c r="G14" s="21">
        <f>1/(1+Assumptions!$B$26)^(6-0.5*Assumptions!$B$32)</f>
        <v>0.617891932918426</v>
      </c>
      <c r="H14" s="21">
        <f>1/(1+Assumptions!$B$26)^(7-0.5*Assumptions!$B$32)</f>
        <v>0.5661045176491374</v>
      </c>
      <c r="I14" s="21">
        <f>1/(1+Assumptions!$B$26)^(8-0.5*Assumptions!$B$32)</f>
        <v>0.51865756425901</v>
      </c>
      <c r="J14" s="21">
        <f>1/(1+Assumptions!$B$26)^(9-0.5*Assumptions!$B$32)</f>
        <v>0.4751872853447437</v>
      </c>
      <c r="K14" s="21">
        <f>1/(1+Assumptions!$B$26)^(10-0.5*Assumptions!$B$32)</f>
        <v>0.435360383639453</v>
      </c>
    </row>
    <row r="15" spans="1:11" x14ac:dyDescent="0.25">
      <c r="A15" s="19" t="s">
        <v>58</v>
      </c>
      <c r="B15" s="20">
        <f>B13*B14</f>
        <v>1497288048.1250074</v>
      </c>
      <c r="C15" s="20">
        <f>C13*C14</f>
        <v>1517607531.0715659</v>
      </c>
      <c r="D15" s="20">
        <f>D13*D14</f>
        <v>1505388812.1864903</v>
      </c>
      <c r="E15" s="20">
        <f>E13*E14</f>
        <v>1482070309.7462592</v>
      </c>
      <c r="F15" s="20">
        <f>F13*F14</f>
        <v>1448088982.0452406</v>
      </c>
      <c r="G15" s="20">
        <f>G13*G14</f>
        <v>1404116171.445964</v>
      </c>
      <c r="H15" s="20">
        <f>H13*H14</f>
        <v>1351035714.6372259</v>
      </c>
      <c r="I15" s="20">
        <f>I13*I14</f>
        <v>1289914330.080457</v>
      </c>
      <c r="J15" s="20">
        <f>J13*J14</f>
        <v>1221965667.7058935</v>
      </c>
      <c r="K15" s="20">
        <f>K13*K14</f>
        <v>1148509724.4117796</v>
      </c>
    </row>
    <row r="17" spans="1:2" x14ac:dyDescent="0.25">
      <c r="A17" s="22" t="s">
        <v>59</v>
      </c>
      <c r="B17" s="23">
        <f>SUM(B15:K15)</f>
        <v>13865985291.455885</v>
      </c>
    </row>
    <row r="19" spans="1:11" x14ac:dyDescent="0.25">
      <c r="A19" t="s">
        <v>7</v>
      </c>
      <c r="B19" s="9">
        <f>Assumptions!$B$10+($B$20-Assumptions!$B$10)*0/9</f>
        <v>0.037519633002096306</v>
      </c>
      <c r="C19" s="9">
        <f>Assumptions!$B$10+($B$20-Assumptions!$B$10)*1/9</f>
        <v>0.03945046480925077</v>
      </c>
      <c r="D19" s="9">
        <f>Assumptions!$B$10+($B$20-Assumptions!$B$10)*2/9</f>
        <v>0.04138129661640523</v>
      </c>
      <c r="E19" s="9">
        <f>Assumptions!$B$10+($B$20-Assumptions!$B$10)*3/9</f>
        <v>0.04331212842355969</v>
      </c>
      <c r="F19" s="9">
        <f>Assumptions!$B$10+($B$20-Assumptions!$B$10)*4/9</f>
        <v>0.045242960230714155</v>
      </c>
      <c r="G19" s="9">
        <f>Assumptions!$B$10+($B$20-Assumptions!$B$10)*5/9</f>
        <v>0.04717379203786862</v>
      </c>
      <c r="H19" s="9">
        <f>Assumptions!$B$10+($B$20-Assumptions!$B$10)*6/9</f>
        <v>0.04910462384502308</v>
      </c>
      <c r="I19" s="9">
        <f>Assumptions!$B$10+($B$20-Assumptions!$B$10)*7/9</f>
        <v>0.05103545565217754</v>
      </c>
      <c r="J19" s="9">
        <f>Assumptions!$B$10+($B$20-Assumptions!$B$10)*8/9</f>
        <v>0.052966287459332004</v>
      </c>
      <c r="K19" s="9">
        <f>Assumptions!$B$10+($B$20-Assumptions!$B$10)*9/9</f>
        <v>0.054897119266486466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0.054897119266486466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2638066685.835445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2847211124.5096283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0.07609828109738287</v>
      </c>
    </row>
    <row r="7" spans="1:2" x14ac:dyDescent="0.25">
      <c r="A7" t="s">
        <v>66</v>
      </c>
      <c r="B7" s="18">
        <f>-MAX(B5,0)*B6</f>
        <v>-216667872.49652928</v>
      </c>
    </row>
    <row r="8" spans="1:2" x14ac:dyDescent="0.25">
      <c r="A8" t="s">
        <v>67</v>
      </c>
      <c r="B8" s="18">
        <f>IF(OR(Assumptions!$B$33=0,Assumptions!B12&lt;=0),B5,MAX(B5+B7,0))</f>
        <v>2630543252.013099</v>
      </c>
    </row>
    <row r="9" spans="1:2" x14ac:dyDescent="0.25">
      <c r="A9" t="s">
        <v>68</v>
      </c>
      <c r="B9" s="18">
        <f>B8*(1+Assumptions!B12)/(Assumptions!B26-Assumptions!B12)</f>
        <v>40557977852.5608</v>
      </c>
    </row>
    <row r="10" spans="1:2" x14ac:dyDescent="0.25">
      <c r="A10" t="s">
        <v>69</v>
      </c>
      <c r="B10" s="18">
        <f>B9/(1+Assumptions!B26)^(10-0.5*Assumptions!B32)</f>
        <v>17657336797.531307</v>
      </c>
    </row>
    <row r="11" spans="1:2" x14ac:dyDescent="0.25">
      <c r="A11" t="s">
        <v>70</v>
      </c>
      <c r="B11" s="18">
        <f>Forecast!B17+B10</f>
        <v>31523322088.98719</v>
      </c>
    </row>
    <row r="12" spans="1:2" x14ac:dyDescent="0.25">
      <c r="A12" t="s">
        <v>71</v>
      </c>
      <c r="B12" s="18">
        <f>-Assumptions!B30</f>
        <v>-5798152000</v>
      </c>
    </row>
    <row r="13" spans="1:2" x14ac:dyDescent="0.25">
      <c r="A13" t="s">
        <v>72</v>
      </c>
      <c r="B13" s="18">
        <f>B11+B12</f>
        <v>25725170088.98719</v>
      </c>
    </row>
    <row r="14" spans="1:2" x14ac:dyDescent="0.25">
      <c r="A14" s="19" t="s">
        <v>73</v>
      </c>
      <c r="B14" s="24">
        <f>B13/Assumptions!B31</f>
        <v>335.6799688003966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3550891414.8690534</v>
      </c>
    </row>
    <row r="18" spans="1:2" x14ac:dyDescent="0.25">
      <c r="A18" t="s">
        <v>68</v>
      </c>
      <c r="B18" s="18">
        <f>B17*Assumptions!B13</f>
        <v>71017828297.38107</v>
      </c>
    </row>
    <row r="19" spans="1:2" x14ac:dyDescent="0.25">
      <c r="A19" t="s">
        <v>69</v>
      </c>
      <c r="B19" s="18">
        <f>B18/(1+Assumptions!B26)^(10-0.5*Assumptions!B32)</f>
        <v>30918348972.788628</v>
      </c>
    </row>
    <row r="20" spans="1:2" x14ac:dyDescent="0.25">
      <c r="A20" t="s">
        <v>70</v>
      </c>
      <c r="B20" s="18">
        <f>Forecast!B17+B19</f>
        <v>44784334264.244514</v>
      </c>
    </row>
    <row r="21" spans="1:2" x14ac:dyDescent="0.25">
      <c r="A21" t="s">
        <v>71</v>
      </c>
      <c r="B21" s="18">
        <f>-Assumptions!B30</f>
        <v>-5798152000</v>
      </c>
    </row>
    <row r="22" spans="1:2" x14ac:dyDescent="0.25">
      <c r="A22" t="s">
        <v>72</v>
      </c>
      <c r="B22" s="18">
        <f>B20+B21</f>
        <v>38986182264.244514</v>
      </c>
    </row>
    <row r="23" spans="1:2" x14ac:dyDescent="0.25">
      <c r="A23" s="19" t="s">
        <v>73</v>
      </c>
      <c r="B23" s="25">
        <f>B22/Assumptions!B31</f>
        <v>508.71890840133244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623.38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335.6799688003966</v>
      </c>
    </row>
    <row r="29" spans="1:2" x14ac:dyDescent="0.25">
      <c r="A29" s="19" t="s">
        <v>81</v>
      </c>
      <c r="B29" s="11">
        <f>B28/B26-1</f>
        <v>-0.4615163001694046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0.07148</v>
      </c>
      <c r="B5" s="31">
        <v>456.0585676803353</v>
      </c>
      <c r="C5" s="31">
        <v>482.5550489890508</v>
      </c>
      <c r="D5" s="31">
        <v>515.0319648840388</v>
      </c>
      <c r="E5" s="31">
        <v>555.6519604664105</v>
      </c>
      <c r="F5" s="31">
        <v>607.7633415286758</v>
      </c>
    </row>
    <row r="6" spans="1:6" x14ac:dyDescent="0.25">
      <c r="A6" s="30">
        <v>0.08148</v>
      </c>
      <c r="B6" s="31">
        <v>373.6448047606759</v>
      </c>
      <c r="C6" s="31">
        <v>389.97794904014944</v>
      </c>
      <c r="D6" s="31">
        <v>409.42056548287485</v>
      </c>
      <c r="E6" s="31">
        <v>432.8786774464433</v>
      </c>
      <c r="F6" s="31">
        <v>461.6481634337088</v>
      </c>
    </row>
    <row r="7" spans="1:6" x14ac:dyDescent="0.25">
      <c r="A7" s="30">
        <v>0.09148</v>
      </c>
      <c r="B7" s="31">
        <v>312.95331037906146</v>
      </c>
      <c r="C7" s="31">
        <v>323.4413468356976</v>
      </c>
      <c r="D7" s="32">
        <v>335.6818927924461</v>
      </c>
      <c r="E7" s="31">
        <v>350.1025286413322</v>
      </c>
      <c r="F7" s="31">
        <v>367.2822442616413</v>
      </c>
    </row>
    <row r="8" spans="1:6" x14ac:dyDescent="0.25">
      <c r="A8" s="30">
        <v>0.10148</v>
      </c>
      <c r="B8" s="31">
        <v>266.438249976081</v>
      </c>
      <c r="C8" s="31">
        <v>273.3494047479615</v>
      </c>
      <c r="D8" s="31">
        <v>281.30812961423237</v>
      </c>
      <c r="E8" s="31">
        <v>290.53425601607773</v>
      </c>
      <c r="F8" s="31">
        <v>301.3137500039434</v>
      </c>
    </row>
    <row r="9" spans="1:6" x14ac:dyDescent="0.25">
      <c r="A9" s="30">
        <v>0.11148</v>
      </c>
      <c r="B9" s="31">
        <v>229.68298125194534</v>
      </c>
      <c r="C9" s="31">
        <v>234.30265207327705</v>
      </c>
      <c r="D9" s="31">
        <v>239.57709980499018</v>
      </c>
      <c r="E9" s="31">
        <v>245.62686511541693</v>
      </c>
      <c r="F9" s="31">
        <v>252.6040108141902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3134459000</v>
      </c>
      <c r="C5" s="18">
        <v>2856128000</v>
      </c>
      <c r="D5" s="18">
        <v>2528920000</v>
      </c>
      <c r="E5" s="18">
        <v>2248598000</v>
      </c>
      <c r="F5" s="6" t="s">
        <v>91</v>
      </c>
    </row>
    <row r="6" spans="1:6" x14ac:dyDescent="0.25">
      <c r="A6" t="s">
        <v>51</v>
      </c>
      <c r="B6" s="18">
        <v>1713567000</v>
      </c>
      <c r="C6" s="18">
        <v>1528518000</v>
      </c>
      <c r="D6" s="18">
        <v>1384609000</v>
      </c>
      <c r="E6" s="18">
        <v>1207640000</v>
      </c>
      <c r="F6" s="6" t="s">
        <v>92</v>
      </c>
    </row>
    <row r="7" spans="1:6" x14ac:dyDescent="0.25">
      <c r="A7" t="s">
        <v>93</v>
      </c>
      <c r="B7" s="18">
        <v>218570000</v>
      </c>
      <c r="C7" s="18">
        <v>206275000</v>
      </c>
      <c r="D7" s="18">
        <v>159219000</v>
      </c>
      <c r="E7" s="18">
        <v>142496000</v>
      </c>
      <c r="F7" s="6" t="s">
        <v>94</v>
      </c>
    </row>
    <row r="8" spans="1:6" x14ac:dyDescent="0.25">
      <c r="A8" t="s">
        <v>95</v>
      </c>
      <c r="B8" s="18">
        <v>129861000</v>
      </c>
      <c r="C8" s="18">
        <v>115118000</v>
      </c>
      <c r="D8" s="18">
        <v>90851000</v>
      </c>
      <c r="E8" s="18">
        <v>72895000</v>
      </c>
      <c r="F8" s="6" t="s">
        <v>96</v>
      </c>
    </row>
    <row r="9" spans="1:6" x14ac:dyDescent="0.25">
      <c r="A9" t="s">
        <v>97</v>
      </c>
      <c r="B9" s="18">
        <v>24023000</v>
      </c>
      <c r="C9" s="18">
        <v>-72743000</v>
      </c>
      <c r="D9" s="18">
        <v>-2457000</v>
      </c>
      <c r="E9" s="18">
        <v>19428000</v>
      </c>
      <c r="F9" s="6" t="s">
        <v>98</v>
      </c>
    </row>
    <row r="10" spans="1:6" x14ac:dyDescent="0.25">
      <c r="A10" t="s">
        <v>99</v>
      </c>
      <c r="B10" s="18">
        <v>6309817000</v>
      </c>
      <c r="C10" s="18">
        <v>4631969000</v>
      </c>
      <c r="D10" s="18">
        <v>4627862000</v>
      </c>
      <c r="E10" s="18">
        <v>4643521000</v>
      </c>
      <c r="F10" s="6" t="s">
        <v>100</v>
      </c>
    </row>
    <row r="11" spans="1:6" x14ac:dyDescent="0.25">
      <c r="A11" t="s">
        <v>101</v>
      </c>
      <c r="B11" s="18">
        <v>511665000</v>
      </c>
      <c r="C11" s="18">
        <v>405854000</v>
      </c>
      <c r="D11" s="18">
        <v>457815000</v>
      </c>
      <c r="E11" s="18">
        <v>993196000</v>
      </c>
      <c r="F11" s="6" t="s">
        <v>102</v>
      </c>
    </row>
    <row r="12" spans="1:6" x14ac:dyDescent="0.25">
      <c r="A12" t="s">
        <v>34</v>
      </c>
      <c r="B12" s="34">
        <v>76636000</v>
      </c>
      <c r="C12" s="34">
        <v>78960000</v>
      </c>
      <c r="D12" s="34">
        <v>79843000</v>
      </c>
      <c r="E12" s="34">
        <v>81215000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