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<sst xmlns="http://schemas.openxmlformats.org/spreadsheetml/2006/main" count="113" uniqueCount="101">
  <si>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MSCI Inc. (MSCI)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</si>
  <si>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</si>
  <si>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</si>
  <si>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</si>
  <si>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</si>
  <si>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</si>
  <si>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</si>
  <si>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</si>
  <si>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</si>
  <si>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</si>
  <si>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</si>
  <si>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</si>
  <si>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</si>
  <si>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</si>
  <si>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</si>
  <si>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</si>
  <si>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</si>
  <si>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</si>
  <si>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</si>
  <si>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</si>
  <si>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</si>
  <si>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</si>
  <si>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</si>
  <si>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</si>
  <si>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</si>
  <si>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</si>
  <si>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</si>
  <si>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</si>
  <si>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</si>
  <si>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</si>
  <si>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</si>
  <si>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</si>
  <si>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</si>
  <si>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</si>
  <si>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</si>
  <si>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</si>
  <si>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</si>
  <si>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</si>
  <si>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</si>
  <si>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</si>
  <si>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</si>
  <si>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</si>
  <si>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</si>
  <si>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</si>
  <si>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</si>
  <si>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</si>
  <si>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</si>
  <si>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</si>
  <si>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</si>
  <si>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</si>
  <si>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</si>
  <si>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</si>
  <si>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</si>
  <si>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</si>
  <si>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</si>
  <si>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</si>
  <si>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</si>
  <si>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</si>
  <si>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</si>
  <si>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</si>
  <si>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</si>
  <si>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</si>
  <si>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</si>
  <si>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</si>
  <si>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</si>
  <si>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</si>
  <si>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</si>
  <si>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</si>
  <si>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</si>
  <si>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</si>
  <si>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</si>
  <si>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</si>
  <si>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</si>
  <si>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</si>
  <si>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</si>
  <si>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</si>
  <si>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</si>
  <si>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</si>
  <si>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</si>
  <si>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</si>
  <si>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</si>
  <si>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</si>
  <si>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</si>
  <si>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</si>
  <si>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</si>
  <si>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</si>
  <si>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</si>
  <si>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</si>
  <si>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</si>
  <si>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</si>
  <si>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</si>
  <si>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</si>
  <si>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</si>
  <si>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</si>
  <si>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</si>
  <si>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</si>
  <si>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</si>
  <si>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</si>
  <si>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</si>
  <si>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Current EV/EBITDA of 23.8x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</si>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</sst>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0.11707823751600754</v>
      </c>
    </row>
    <row r="7" spans="1:2" x14ac:dyDescent="0.25">
      <c r="A7" t="s">
        <v>5</v>
      </c>
      <c r="B7" s="6">
        <v>0.5416079053259347</v>
      </c>
    </row>
    <row r="8" spans="1:2" x14ac:dyDescent="0.25">
      <c r="A8" t="s">
        <v>6</v>
      </c>
      <c r="B8" s="6">
        <v>0.17407555988449266</v>
      </c>
    </row>
    <row r="9" spans="1:2" x14ac:dyDescent="0.25">
      <c r="A9" t="s">
        <v>7</v>
      </c>
      <c r="B9" s="6">
        <v>0.06707089114292969</v>
      </c>
    </row>
    <row r="10" spans="1:2" x14ac:dyDescent="0.25">
      <c r="A10" t="s">
        <v>8</v>
      </c>
      <c r="B10" s="6">
        <v>0.037519633002096306</v>
      </c>
    </row>
    <row r="11" spans="1:2" x14ac:dyDescent="0.25">
      <c r="A11" t="s">
        <v>9</v>
      </c>
      <c r="B11" s="6">
        <v>-0.008764920341607151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0.3285225321713579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1.14673</v>
      </c>
      <c r="C19" s="8" t="s">
        <v>19</v>
      </c>
    </row>
    <row r="20" spans="1:2" x14ac:dyDescent="0.25">
      <c r="A20" t="s">
        <v>20</v>
      </c>
      <c r="B20" s="10">
        <f>B17+B19*B18</f>
        <v>0.11305015000000002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40193650688</v>
      </c>
    </row>
    <row r="23" spans="1:2" x14ac:dyDescent="0.25">
      <c r="A23" t="s">
        <v>24</v>
      </c>
      <c r="B23" s="11">
        <v>6309817000</v>
      </c>
    </row>
    <row r="24" spans="1:2" x14ac:dyDescent="0.25">
      <c r="A24" t="s">
        <v>25</v>
      </c>
      <c r="B24" s="10">
        <f>B22/(B22+B23)</f>
        <v>0.8643151293074813</v>
      </c>
    </row>
    <row r="25" spans="1:2" x14ac:dyDescent="0.25">
      <c r="A25" t="s">
        <v>26</v>
      </c>
      <c r="B25" s="10">
        <f>1-B24</f>
        <v>0.13568487069251867</v>
      </c>
    </row>
    <row r="26" spans="1:2" x14ac:dyDescent="0.25">
      <c r="A26" t="s">
        <v>27</v>
      </c>
      <c r="B26" s="12">
        <f>B24*B20+B25*B21*(1-B8)</f>
        <v>0.10331198624940617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3134459000</v>
      </c>
      <c r="C29" s="8" t="s">
        <v>30</v>
      </c>
    </row>
    <row r="30" spans="1:2" x14ac:dyDescent="0.25">
      <c r="A30" t="s">
        <v>31</v>
      </c>
      <c r="B30" s="11">
        <v>5798152000</v>
      </c>
    </row>
    <row r="31" spans="1:2" x14ac:dyDescent="0.25">
      <c r="A31" t="s">
        <v>32</v>
      </c>
      <c r="B31" s="13">
        <v>76636000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0.11707823751600754</v>
      </c>
      <c r="C5" s="10">
        <f>Assumptions!B6</f>
        <v>0.11707823751600754</v>
      </c>
      <c r="D5" s="10">
        <f>Assumptions!B6</f>
        <v>0.11707823751600754</v>
      </c>
      <c r="E5" s="10">
        <f>Assumptions!B6</f>
        <v>0.11707823751600754</v>
      </c>
      <c r="F5" s="10">
        <f>Assumptions!B6</f>
        <v>0.11707823751600754</v>
      </c>
    </row>
    <row r="6" spans="1:6" x14ac:dyDescent="0.25">
      <c r="A6" t="s">
        <v>43</v>
      </c>
      <c r="B6" s="18">
        <f>Assumptions!B29*(1+B5)</f>
        <v>3501435935.2861876</v>
      </c>
      <c r="C6" s="18">
        <f>B6*(1+C5)</f>
        <v>3911377883.364708</v>
      </c>
      <c r="D6" s="18">
        <f>C6*(1+D5)</f>
        <v>4369315112.20814</v>
      </c>
      <c r="E6" s="18">
        <f>D6*(1+E5)</f>
        <v>4880866824.697526</v>
      </c>
      <c r="F6" s="18">
        <f>E6*(1+F5)</f>
        <v>5452310110.083465</v>
      </c>
    </row>
    <row r="7" spans="1:6" x14ac:dyDescent="0.25">
      <c r="A7" t="s">
        <v>5</v>
      </c>
      <c r="B7" s="10">
        <f>Assumptions!B7</f>
        <v>0.5416079053259347</v>
      </c>
      <c r="C7" s="10">
        <f>Assumptions!B7</f>
        <v>0.5416079053259347</v>
      </c>
      <c r="D7" s="10">
        <f>Assumptions!B7</f>
        <v>0.5416079053259347</v>
      </c>
      <c r="E7" s="10">
        <f>Assumptions!B7</f>
        <v>0.5416079053259347</v>
      </c>
      <c r="F7" s="10">
        <f>Assumptions!B7</f>
        <v>0.5416079053259347</v>
      </c>
    </row>
    <row r="8" spans="1:6" x14ac:dyDescent="0.25">
      <c r="A8" t="s">
        <v>44</v>
      </c>
      <c r="B8" s="18">
        <f>B6*B7</f>
        <v>1896405382.5433073</v>
      </c>
      <c r="C8" s="18">
        <f>C6*C7</f>
        <v>2118433182.3473477</v>
      </c>
      <c r="D8" s="18">
        <f>D6*D7</f>
        <v>2366455605.6320024</v>
      </c>
      <c r="E8" s="18">
        <f>E6*E7</f>
        <v>2643516057.099273</v>
      </c>
      <c r="F8" s="18">
        <f>F6*F7</f>
        <v>2953014257.909722</v>
      </c>
    </row>
    <row r="9" spans="1:6" x14ac:dyDescent="0.25">
      <c r="A9" t="s">
        <v>45</v>
      </c>
      <c r="B9" s="18">
        <f>B8*(1-Assumptions!B8)</f>
        <v>1566287553.8091156</v>
      </c>
      <c r="C9" s="18">
        <f>C8*(1-Assumptions!B8)</f>
        <v>1749665740.0523458</v>
      </c>
      <c r="D9" s="18">
        <f>D8*(1-Assumptions!B8)</f>
        <v>1954513521.1398153</v>
      </c>
      <c r="E9" s="18">
        <f>E8*(1-Assumptions!B8)</f>
        <v>2183344519.396071</v>
      </c>
      <c r="F9" s="18">
        <f>F8*(1-Assumptions!B8)</f>
        <v>2438966647.6171975</v>
      </c>
    </row>
    <row r="10" spans="1:6" x14ac:dyDescent="0.25">
      <c r="A10" t="s">
        <v>46</v>
      </c>
      <c r="B10" s="18">
        <f>B6*Assumptions!B9</f>
        <v>234844428.4595221</v>
      </c>
      <c r="C10" s="18">
        <f>C6*Assumptions!B9</f>
        <v>262339600.23401707</v>
      </c>
      <c r="D10" s="18">
        <f>D6*Assumptions!B9</f>
        <v>293053858.2600698</v>
      </c>
      <c r="E10" s="18">
        <f>E6*Assumptions!B9</f>
        <v>327364087.4824247</v>
      </c>
      <c r="F10" s="18">
        <f>F6*Assumptions!B9</f>
        <v>365691297.8709031</v>
      </c>
    </row>
    <row r="11" spans="1:6" x14ac:dyDescent="0.25">
      <c r="A11" t="s">
        <v>47</v>
      </c>
      <c r="B11" s="18">
        <f>-B6*Assumptions!B10</f>
        <v>-131372591.27228959</v>
      </c>
      <c r="C11" s="18">
        <f>-C6*Assumptions!B10</f>
        <v>-146753462.7163601</v>
      </c>
      <c r="D11" s="18">
        <f>-D6*Assumptions!B10</f>
        <v>-163935099.48056266</v>
      </c>
      <c r="E11" s="18">
        <f>-E6*Assumptions!B10</f>
        <v>-183128331.9947583</v>
      </c>
      <c r="F11" s="18">
        <f>-F6*Assumptions!B10</f>
        <v>-204568674.3439509</v>
      </c>
    </row>
    <row r="12" spans="1:6" x14ac:dyDescent="0.25">
      <c r="A12" t="s">
        <v>48</v>
      </c>
      <c r="B12" s="18">
        <f>-(B6-Assumptions!B29)*Assumptions!B11</f>
        <v>3216523.6049905573</v>
      </c>
      <c r="C12" s="18">
        <f>-(C6-B6)*Assumptions!B11</f>
        <v>3593108.519591485</v>
      </c>
      <c r="D12" s="18">
        <f>-(D6-C6)*Assumptions!B11</f>
        <v>4013783.33226901</v>
      </c>
      <c r="E12" s="18">
        <f>-(E6-D6)*Assumptions!B11</f>
        <v>4483710.010582189</v>
      </c>
      <c r="F12" s="18">
        <f>-(F6-E6)*Assumptions!B11</f>
        <v>5008654.876154034</v>
      </c>
    </row>
    <row r="13" spans="1:6" x14ac:dyDescent="0.25">
      <c r="A13" s="19" t="s">
        <v>49</v>
      </c>
      <c r="B13" s="20">
        <f>B9+B10+B11+B12</f>
        <v>1672975914.6013386</v>
      </c>
      <c r="C13" s="20">
        <f>C9+C10+C11+C12</f>
        <v>1868844986.0895944</v>
      </c>
      <c r="D13" s="20">
        <f>D9+D10+D11+D12</f>
        <v>2087646063.2515914</v>
      </c>
      <c r="E13" s="20">
        <f>E9+E10+E11+E12</f>
        <v>2332063984.8943195</v>
      </c>
      <c r="F13" s="20">
        <f>F9+F10+F11+F12</f>
        <v>2605097926.0203037</v>
      </c>
    </row>
    <row r="14" spans="1:6" x14ac:dyDescent="0.25">
      <c r="A14" t="s">
        <v>50</v>
      </c>
      <c r="B14" s="21">
        <f>1/(1+Assumptions!$B$26)^(1-0.5*Assumptions!$B$32)</f>
        <v>0.9520304338596858</v>
      </c>
      <c r="C14" s="21">
        <f>1/(1+Assumptions!$B$26)^(2-0.5*Assumptions!$B$32)</f>
        <v>0.8628841576316176</v>
      </c>
      <c r="D14" s="21">
        <f>1/(1+Assumptions!$B$26)^(3-0.5*Assumptions!$B$32)</f>
        <v>0.7820853651421864</v>
      </c>
      <c r="E14" s="21">
        <f>1/(1+Assumptions!$B$26)^(4-0.5*Assumptions!$B$32)</f>
        <v>0.7088524142666155</v>
      </c>
      <c r="F14" s="21">
        <f>1/(1+Assumptions!$B$26)^(5-0.5*Assumptions!$B$32)</f>
        <v>0.6424768543268394</v>
      </c>
    </row>
    <row r="15" spans="1:6" x14ac:dyDescent="0.25">
      <c r="A15" s="19" t="s">
        <v>51</v>
      </c>
      <c r="B15" s="20">
        <f>B13*B14</f>
        <v>1592723985.814717</v>
      </c>
      <c r="C15" s="20">
        <f>C13*C14</f>
        <v>1612596731.5659919</v>
      </c>
      <c r="D15" s="20">
        <f>D13*D14</f>
        <v>1632717433.6657689</v>
      </c>
      <c r="E15" s="20">
        <f>E13*E14</f>
        <v>1653089185.9165623</v>
      </c>
      <c r="F15" s="20">
        <f>F13*F14</f>
        <v>1673715120.7228982</v>
      </c>
    </row>
    <row r="17" spans="1:2" x14ac:dyDescent="0.25">
      <c r="A17" s="22" t="s">
        <v>52</v>
      </c>
      <c r="B17" s="23">
        <f>SUM(B15:F15)</f>
        <v>8164842457.685938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2605097926.0203037</v>
      </c>
    </row>
    <row r="5" spans="1:2" x14ac:dyDescent="0.25">
      <c r="A5" t="s">
        <v>56</v>
      </c>
      <c r="B5" s="18">
        <f>IF(Assumptions!$B$33=0,B4,B4-Forecast!F11-Forecast!F10-Forecast!F12)</f>
        <v>2661037546.1844296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0.07609828109738287</v>
      </c>
    </row>
    <row r="7" spans="1:2" x14ac:dyDescent="0.25">
      <c r="A7" t="s">
        <v>58</v>
      </c>
      <c r="B7" s="18">
        <f>-MAX(Forecast!F9,0)*B6</f>
        <v>-202500383.20023268</v>
      </c>
    </row>
    <row r="8" spans="1:2" x14ac:dyDescent="0.25">
      <c r="A8" t="s">
        <v>59</v>
      </c>
      <c r="B8" s="18">
        <f>IF(OR(Assumptions!$B$33=0,Assumptions!B12&lt;=0),B5,MAX(B5+B7,0))</f>
        <v>2458537162.984197</v>
      </c>
    </row>
    <row r="9" spans="1:2" x14ac:dyDescent="0.25">
      <c r="A9" t="s">
        <v>60</v>
      </c>
      <c r="B9" s="18">
        <f>B8*(1+Assumptions!B12)/(Assumptions!B26-Assumptions!B12)</f>
        <v>32178989612.562798</v>
      </c>
    </row>
    <row r="10" spans="1:2" x14ac:dyDescent="0.25">
      <c r="A10" t="s">
        <v>61</v>
      </c>
      <c r="B10" s="18">
        <f>B9/(1+Assumptions!B26)^(5-0.5*Assumptions!B32)</f>
        <v>20674256021.69539</v>
      </c>
    </row>
    <row r="11" spans="1:2" x14ac:dyDescent="0.25">
      <c r="A11" t="s">
        <v>62</v>
      </c>
      <c r="B11" s="18">
        <f>Forecast!B17+B10</f>
        <v>28839098479.381325</v>
      </c>
    </row>
    <row r="12" spans="1:2" x14ac:dyDescent="0.25">
      <c r="A12" t="s">
        <v>63</v>
      </c>
      <c r="B12" s="18">
        <f>-Assumptions!B30</f>
        <v>-5798152000</v>
      </c>
    </row>
    <row r="13" spans="1:2" x14ac:dyDescent="0.25">
      <c r="A13" t="s">
        <v>64</v>
      </c>
      <c r="B13" s="18">
        <f>B11+B12</f>
        <v>23040946479.381325</v>
      </c>
    </row>
    <row r="14" spans="1:2" x14ac:dyDescent="0.25">
      <c r="A14" s="19" t="s">
        <v>65</v>
      </c>
      <c r="B14" s="24">
        <f>B13/Assumptions!B31</f>
        <v>300.65434625217034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3318705555.780625</v>
      </c>
    </row>
    <row r="18" spans="1:2" x14ac:dyDescent="0.25">
      <c r="A18" t="s">
        <v>60</v>
      </c>
      <c r="B18" s="18">
        <f>B17*Assumptions!B13</f>
        <v>66374111115.612495</v>
      </c>
    </row>
    <row r="19" spans="1:2" x14ac:dyDescent="0.25">
      <c r="A19" t="s">
        <v>61</v>
      </c>
      <c r="B19" s="18">
        <f>B18/(1+Assumptions!B26)^(5-0.5*Assumptions!B32)</f>
        <v>42643830118.29882</v>
      </c>
    </row>
    <row r="20" spans="1:2" x14ac:dyDescent="0.25">
      <c r="A20" t="s">
        <v>62</v>
      </c>
      <c r="B20" s="18">
        <f>Forecast!B17+B19</f>
        <v>50808672575.98476</v>
      </c>
    </row>
    <row r="21" spans="1:2" x14ac:dyDescent="0.25">
      <c r="A21" t="s">
        <v>63</v>
      </c>
      <c r="B21" s="18">
        <f>-Assumptions!B30</f>
        <v>-5798152000</v>
      </c>
    </row>
    <row r="22" spans="1:2" x14ac:dyDescent="0.25">
      <c r="A22" t="s">
        <v>64</v>
      </c>
      <c r="B22" s="18">
        <f>B20+B21</f>
        <v>45010520575.98476</v>
      </c>
    </row>
    <row r="23" spans="1:2" x14ac:dyDescent="0.25">
      <c r="A23" s="19" t="s">
        <v>65</v>
      </c>
      <c r="B23" s="25">
        <f>B22/Assumptions!B31</f>
        <v>587.3286781145252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552.87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300.65434625217034</v>
      </c>
    </row>
    <row r="29" spans="1:2" x14ac:dyDescent="0.25">
      <c r="A29" s="19" t="s">
        <v>73</v>
      </c>
      <c r="B29" s="12">
        <f>B28/B26-1</f>
        <v>-0.4561934157176726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0.083312</v>
      </c>
      <c r="B5" s="31">
        <v>379.4345156986138</v>
      </c>
      <c r="C5" s="31">
        <v>402.44658212404664</v>
      </c>
      <c r="D5" s="31">
        <v>429.34179461340887</v>
      </c>
      <c r="E5" s="31">
        <v>461.21272502592444</v>
      </c>
      <c r="F5" s="31">
        <v>499.6042435563134</v>
      </c>
    </row>
    <row r="6" spans="1:6" x14ac:dyDescent="0.25">
      <c r="A6" s="30">
        <v>0.093312</v>
      </c>
      <c r="B6" s="31">
        <v>320.85101146035817</v>
      </c>
      <c r="C6" s="31">
        <v>337.04900487076026</v>
      </c>
      <c r="D6" s="31">
        <v>355.56639476910027</v>
      </c>
      <c r="E6" s="31">
        <v>376.9526970025964</v>
      </c>
      <c r="F6" s="31">
        <v>401.94590177956474</v>
      </c>
    </row>
    <row r="7" spans="1:6" x14ac:dyDescent="0.25">
      <c r="A7" s="30">
        <v>0.103312</v>
      </c>
      <c r="B7" s="31">
        <v>275.5774836185705</v>
      </c>
      <c r="C7" s="31">
        <v>287.3837625929719</v>
      </c>
      <c r="D7" s="32">
        <v>300.6542804013594</v>
      </c>
      <c r="E7" s="31">
        <v>315.688627595209</v>
      </c>
      <c r="F7" s="31">
        <v>332.8741071488433</v>
      </c>
    </row>
    <row r="8" spans="1:6" x14ac:dyDescent="0.25">
      <c r="A8" s="30">
        <v>0.113312</v>
      </c>
      <c r="B8" s="31">
        <v>239.55074747525643</v>
      </c>
      <c r="C8" s="31">
        <v>248.39174485883225</v>
      </c>
      <c r="D8" s="31">
        <v>258.1969345725764</v>
      </c>
      <c r="E8" s="31">
        <v>269.1399156772791</v>
      </c>
      <c r="F8" s="31">
        <v>281.4386224724647</v>
      </c>
    </row>
    <row r="9" spans="1:6" x14ac:dyDescent="0.25">
      <c r="A9" s="30">
        <v>0.123312</v>
      </c>
      <c r="B9" s="31">
        <v>210.20823876663803</v>
      </c>
      <c r="C9" s="31">
        <v>216.9726531059252</v>
      </c>
      <c r="D9" s="31">
        <v>224.39326920874163</v>
      </c>
      <c r="E9" s="31">
        <v>232.57557218367936</v>
      </c>
      <c r="F9" s="31">
        <v>241.6489363296084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3134459000</v>
      </c>
      <c r="C5" s="18">
        <v>2856128000</v>
      </c>
      <c r="D5" s="18">
        <v>2528920000</v>
      </c>
      <c r="E5" s="18">
        <v>2248598000</v>
      </c>
      <c r="F5" s="8" t="s">
        <v>84</v>
      </c>
    </row>
    <row r="6" spans="1:6" x14ac:dyDescent="0.25">
      <c r="A6" t="s">
        <v>44</v>
      </c>
      <c r="B6" s="18">
        <v>1713567000</v>
      </c>
      <c r="C6" s="18">
        <v>1528518000</v>
      </c>
      <c r="D6" s="18">
        <v>1384609000</v>
      </c>
      <c r="E6" s="18">
        <v>1207640000</v>
      </c>
      <c r="F6" s="8" t="s">
        <v>85</v>
      </c>
    </row>
    <row r="7" spans="1:6" x14ac:dyDescent="0.25">
      <c r="A7" t="s">
        <v>86</v>
      </c>
      <c r="B7" s="18">
        <v>218570000</v>
      </c>
      <c r="C7" s="18">
        <v>206275000</v>
      </c>
      <c r="D7" s="18">
        <v>159219000</v>
      </c>
      <c r="E7" s="18">
        <v>142496000</v>
      </c>
      <c r="F7" s="8" t="s">
        <v>87</v>
      </c>
    </row>
    <row r="8" spans="1:6" x14ac:dyDescent="0.25">
      <c r="A8" t="s">
        <v>88</v>
      </c>
      <c r="B8" s="18">
        <v>129861000</v>
      </c>
      <c r="C8" s="18">
        <v>115118000</v>
      </c>
      <c r="D8" s="18">
        <v>90851000</v>
      </c>
      <c r="E8" s="18">
        <v>72895000</v>
      </c>
      <c r="F8" s="8" t="s">
        <v>89</v>
      </c>
    </row>
    <row r="9" spans="1:6" x14ac:dyDescent="0.25">
      <c r="A9" t="s">
        <v>90</v>
      </c>
      <c r="B9" s="18">
        <v>24023000</v>
      </c>
      <c r="C9" s="18">
        <v>-72743000</v>
      </c>
      <c r="D9" s="18">
        <v>-2457000</v>
      </c>
      <c r="E9" s="18">
        <v>19428000</v>
      </c>
      <c r="F9" s="8" t="s">
        <v>91</v>
      </c>
    </row>
    <row r="10" spans="1:6" x14ac:dyDescent="0.25">
      <c r="A10" t="s">
        <v>92</v>
      </c>
      <c r="B10" s="18">
        <v>6309817000</v>
      </c>
      <c r="C10" s="18">
        <v>4631969000</v>
      </c>
      <c r="D10" s="18">
        <v>4627862000</v>
      </c>
      <c r="E10" s="18">
        <v>4643521000</v>
      </c>
      <c r="F10" s="8" t="s">
        <v>93</v>
      </c>
    </row>
    <row r="11" spans="1:6" x14ac:dyDescent="0.25">
      <c r="A11" t="s">
        <v>94</v>
      </c>
      <c r="B11" s="18">
        <v>511665000</v>
      </c>
      <c r="C11" s="18">
        <v>405854000</v>
      </c>
      <c r="D11" s="18">
        <v>457815000</v>
      </c>
      <c r="E11" s="18">
        <v>993196000</v>
      </c>
      <c r="F11" s="8" t="s">
        <v>95</v>
      </c>
    </row>
    <row r="12" spans="1:6" x14ac:dyDescent="0.25">
      <c r="A12" t="s">
        <v>32</v>
      </c>
      <c r="B12" s="34">
        <v>76636000</v>
      </c>
      <c r="C12" s="34">
        <v>78960000</v>
      </c>
      <c r="D12" s="34">
        <v>79843000</v>
      </c>
      <c r="E12" s="34">
        <v>81215000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2026-09-19T01:05:24Z</dcterms:modified>
</cp:coreProperties>
</file>