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<sst xmlns="http://schemas.openxmlformats.org/spreadsheetml/2006/main" count="120" uniqueCount="107">
  <si>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Microsoft Corporation (MSFT)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</si>
  <si>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</si>
  <si>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</si>
  <si>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</si>
  <si>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</si>
  <si>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</si>
  <si>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</si>
  <si>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</si>
  <si>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</si>
  <si>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</si>
  <si>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</si>
  <si>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</si>
  <si>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</si>
  <si>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</si>
  <si>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</si>
  <si>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</si>
  <si>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</si>
  <si>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</si>
  <si>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</si>
  <si>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</si>
  <si>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</si>
  <si>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</si>
  <si>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</si>
  <si>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</si>
  <si>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50.9x interest cover. Book interest / average debt was lower, at 5.2%.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</si>
  <si>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</si>
  <si>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</si>
  <si>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</si>
  <si>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</si>
  <si>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</si>
  <si>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</si>
  <si>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</si>
  <si>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2026-06-30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</si>
  <si>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</si>
  <si>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</si>
  <si>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</si>
  <si>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</si>
  <si>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</si>
  <si>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</si>
  <si>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</si>
  <si>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</si>
  <si>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</si>
  <si>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</si>
  <si>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</si>
  <si>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</si>
  <si>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</si>
  <si>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</si>
  <si>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</si>
  <si>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</si>
  <si>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</si>
  <si>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</si>
  <si>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</si>
  <si>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</si>
  <si>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</si>
  <si>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</si>
  <si>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</si>
  <si>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</si>
  <si>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</si>
  <si>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</si>
  <si>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</si>
  <si>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</si>
  <si>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</si>
  <si>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</si>
  <si>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</si>
  <si>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</si>
  <si>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</si>
  <si>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</si>
  <si>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</si>
  <si>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</si>
  <si>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</si>
  <si>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</si>
  <si>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</si>
  <si>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</si>
  <si>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</si>
  <si>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</si>
  <si>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</si>
  <si>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</si>
  <si>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</si>
  <si>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</si>
  <si>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</si>
  <si>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</si>
  <si>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</si>
  <si>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</si>
  <si>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</si>
  <si>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</si>
  <si>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</si>
  <si>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</si>
  <si>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</si>
  <si>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</si>
  <si>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</si>
  <si>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</si>
  <si>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</si>
  <si>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</si>
  <si>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</si>
  <si>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</si>
  <si>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</si>
  <si>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</si>
  <si>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</si>
  <si>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</si>
  <si>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</si>
  <si>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</si>
  <si>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</si>
  <si>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</si>
  <si>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</si>
  <si>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</si>
  <si>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22.3% of revenue against depreciation of 9.3%.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</si>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</sst>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0.19296804787863997</v>
      </c>
    </row>
    <row r="7" spans="1:2" x14ac:dyDescent="0.25">
      <c r="A7" t="s">
        <v>4</v>
      </c>
      <c r="B7" s="5">
        <v>0.4470498871479122</v>
      </c>
    </row>
    <row r="8" spans="1:2" x14ac:dyDescent="0.25">
      <c r="A8" t="s">
        <v>5</v>
      </c>
      <c r="B8" s="5">
        <v>0.18604975925577727</v>
      </c>
    </row>
    <row r="9" spans="1:2" x14ac:dyDescent="0.25">
      <c r="A9" t="s">
        <v>6</v>
      </c>
      <c r="B9" s="5">
        <v>0.09287643791483631</v>
      </c>
    </row>
    <row r="10" spans="1:3" x14ac:dyDescent="0.25">
      <c r="A10" t="s">
        <v>7</v>
      </c>
      <c r="B10" s="5">
        <v>0.22315517609035057</v>
      </c>
      <c r="C10" s="6" t="s">
        <v>8</v>
      </c>
    </row>
    <row r="11" spans="1:2" x14ac:dyDescent="0.25">
      <c r="A11" t="s">
        <v>9</v>
      </c>
      <c r="B11" s="5">
        <v>0.15031477296132173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19.899674394868168</v>
      </c>
    </row>
    <row r="14" spans="1:3" x14ac:dyDescent="0.25">
      <c r="A14" t="s">
        <v>12</v>
      </c>
      <c r="B14" s="5">
        <v>0.27442142633509375</v>
      </c>
      <c r="C14" s="6" t="s">
        <v>13</v>
      </c>
    </row>
    <row r="15" spans="1:3" x14ac:dyDescent="0.25">
      <c r="A15" t="s">
        <v>14</v>
      </c>
      <c r="B15" s="5">
        <v>0.09287643791483631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1.06633</v>
      </c>
      <c r="C19" s="6" t="s">
        <v>21</v>
      </c>
    </row>
    <row r="20" spans="1:2" x14ac:dyDescent="0.25">
      <c r="A20" t="s">
        <v>22</v>
      </c>
      <c r="B20" s="9">
        <f>B17+B19*B18</f>
        <v>0.094045759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3875804807168</v>
      </c>
    </row>
    <row r="23" spans="1:2" x14ac:dyDescent="0.25">
      <c r="A23" t="s">
        <v>26</v>
      </c>
      <c r="B23" s="10">
        <v>56826000000</v>
      </c>
    </row>
    <row r="24" spans="1:2" x14ac:dyDescent="0.25">
      <c r="A24" t="s">
        <v>27</v>
      </c>
      <c r="B24" s="9">
        <f>B22/(B22+B23)</f>
        <v>0.9855501309971881</v>
      </c>
    </row>
    <row r="25" spans="1:2" x14ac:dyDescent="0.25">
      <c r="A25" t="s">
        <v>28</v>
      </c>
      <c r="B25" s="9">
        <f>1-B24</f>
        <v>0.014449869002811866</v>
      </c>
    </row>
    <row r="26" spans="1:2" x14ac:dyDescent="0.25">
      <c r="A26" t="s">
        <v>29</v>
      </c>
      <c r="B26" s="11">
        <f>B24*B20+B25*B21*(1-B8)</f>
        <v>0.09330946255445753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331839000000</v>
      </c>
      <c r="C29" s="6" t="s">
        <v>32</v>
      </c>
    </row>
    <row r="30" spans="1:2" x14ac:dyDescent="0.25">
      <c r="A30" t="s">
        <v>33</v>
      </c>
      <c r="B30" s="10">
        <v>-19825000000</v>
      </c>
    </row>
    <row r="31" spans="1:2" x14ac:dyDescent="0.25">
      <c r="A31" t="s">
        <v>34</v>
      </c>
      <c r="B31" s="12">
        <v>7453000000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0.19296804787863997</v>
      </c>
      <c r="C5" s="5">
        <v>0.20056164461836157</v>
      </c>
      <c r="D5" s="5">
        <v>0.17861643904106636</v>
      </c>
      <c r="E5" s="5">
        <v>0.15667123346377118</v>
      </c>
      <c r="F5" s="5">
        <v>0.13472602788647597</v>
      </c>
      <c r="G5" s="5">
        <v>0.11278082230918078</v>
      </c>
      <c r="H5" s="5">
        <v>0.09083561673188559</v>
      </c>
      <c r="I5" s="5">
        <v>0.06889041115459038</v>
      </c>
      <c r="J5" s="5">
        <v>0.0469452055772952</v>
      </c>
      <c r="K5" s="5">
        <v>0.024999999999999994</v>
      </c>
    </row>
    <row r="6" spans="1:11" x14ac:dyDescent="0.25">
      <c r="A6" t="s">
        <v>50</v>
      </c>
      <c r="B6" s="18">
        <f>Assumptions!B29*(1+B5)</f>
        <v>395873324040</v>
      </c>
      <c r="C6" s="18">
        <f>B6*(1+C5)</f>
        <v>475270328970</v>
      </c>
      <c r="D6" s="18">
        <f>C6*(1+D5)</f>
        <v>560161422712.4976</v>
      </c>
      <c r="E6" s="18">
        <f>D6*(1+E5)</f>
        <v>647922603747.6855</v>
      </c>
      <c r="F6" s="18">
        <f>E6*(1+F5)</f>
        <v>735214642528.4744</v>
      </c>
      <c r="G6" s="18">
        <f>F6*(1+G5)</f>
        <v>818132754486.5862</v>
      </c>
      <c r="H6" s="18">
        <f>G6*(1+H5)</f>
        <v>892448347808.9315</v>
      </c>
      <c r="I6" s="18">
        <f>H6*(1+I5)</f>
        <v>953929481423.7238</v>
      </c>
      <c r="J6" s="18">
        <f>I6*(1+J5)</f>
        <v>998711897035.4031</v>
      </c>
      <c r="K6" s="18">
        <f>J6*(1+K5)</f>
        <v>1023679694461.2881</v>
      </c>
    </row>
    <row r="7" spans="1:11" x14ac:dyDescent="0.25">
      <c r="A7" t="s">
        <v>4</v>
      </c>
      <c r="B7" s="9">
        <f>Assumptions!B7</f>
        <v>0.4470498871479122</v>
      </c>
      <c r="C7" s="9">
        <f>Assumptions!B7</f>
        <v>0.4470498871479122</v>
      </c>
      <c r="D7" s="9">
        <f>Assumptions!B7</f>
        <v>0.4470498871479122</v>
      </c>
      <c r="E7" s="9">
        <f>Assumptions!B7</f>
        <v>0.4470498871479122</v>
      </c>
      <c r="F7" s="9">
        <f>Assumptions!B7</f>
        <v>0.4470498871479122</v>
      </c>
      <c r="G7" s="9">
        <f>Assumptions!B7</f>
        <v>0.4470498871479122</v>
      </c>
      <c r="H7" s="9">
        <f>Assumptions!B7</f>
        <v>0.4470498871479122</v>
      </c>
      <c r="I7" s="9">
        <f>Assumptions!B7</f>
        <v>0.4470498871479122</v>
      </c>
      <c r="J7" s="9">
        <f>Assumptions!B7</f>
        <v>0.4470498871479122</v>
      </c>
      <c r="K7" s="9">
        <f>Assumptions!B7</f>
        <v>0.4470498871479122</v>
      </c>
    </row>
    <row r="8" spans="1:11" x14ac:dyDescent="0.25">
      <c r="A8" t="s">
        <v>51</v>
      </c>
      <c r="B8" s="18">
        <f>B6*B7</f>
        <v>176975124836.9509</v>
      </c>
      <c r="C8" s="18">
        <f>C6*C7</f>
        <v>212469546930.7896</v>
      </c>
      <c r="D8" s="18">
        <f>D6*D7</f>
        <v>250420100808.236</v>
      </c>
      <c r="E8" s="18">
        <f>E6*E7</f>
        <v>289653726885.98425</v>
      </c>
      <c r="F8" s="18">
        <f>F6*F7</f>
        <v>328677622971.8471</v>
      </c>
      <c r="G8" s="18">
        <f>G6*G7</f>
        <v>365746155565.23895</v>
      </c>
      <c r="H8" s="18">
        <f>H6*H7</f>
        <v>398968933173.32355</v>
      </c>
      <c r="I8" s="18">
        <f>I6*I7</f>
        <v>426454067017.5421</v>
      </c>
      <c r="J8" s="18">
        <f>J6*J7</f>
        <v>446474040862.9543</v>
      </c>
      <c r="K8" s="18">
        <f>K6*K7</f>
        <v>457635891884.5281</v>
      </c>
    </row>
    <row r="9" spans="1:11" x14ac:dyDescent="0.25">
      <c r="A9" t="s">
        <v>52</v>
      </c>
      <c r="B9" s="18">
        <f>B8*(1-Assumptions!B8)</f>
        <v>144048945466.77505</v>
      </c>
      <c r="C9" s="18">
        <f>C8*(1-Assumptions!B8)</f>
        <v>172939638875.13214</v>
      </c>
      <c r="D9" s="18">
        <f>D8*(1-Assumptions!B8)</f>
        <v>203829501340.0562</v>
      </c>
      <c r="E9" s="18">
        <f>E8*(1-Assumptions!B8)</f>
        <v>235763720731.30823</v>
      </c>
      <c r="F9" s="18">
        <f>F8*(1-Assumptions!B8)</f>
        <v>267527230345.17383</v>
      </c>
      <c r="G9" s="18">
        <f>G8*(1-Assumptions!B8)</f>
        <v>297699171373.60016</v>
      </c>
      <c r="H9" s="18">
        <f>H8*(1-Assumptions!B8)</f>
        <v>324740859205.8924</v>
      </c>
      <c r="I9" s="18">
        <f>I8*(1-Assumptions!B8)</f>
        <v>347112390515.2813</v>
      </c>
      <c r="J9" s="18">
        <f>J8*(1-Assumptions!B8)</f>
        <v>363407653046.4476</v>
      </c>
      <c r="K9" s="18">
        <f>K8*(1-Assumptions!B8)</f>
        <v>372492844372.6087</v>
      </c>
    </row>
    <row r="10" spans="1:11" x14ac:dyDescent="0.25">
      <c r="A10" t="s">
        <v>53</v>
      </c>
      <c r="B10" s="18">
        <f>B6*Assumptions!B9</f>
        <v>36767304202.340935</v>
      </c>
      <c r="C10" s="18">
        <f>C6*Assumptions!B9</f>
        <v>44141415201.34603</v>
      </c>
      <c r="D10" s="18">
        <f>D6*Assumptions!B9</f>
        <v>52025797598.84366</v>
      </c>
      <c r="E10" s="18">
        <f>E6*Assumptions!B9</f>
        <v>60176743480.591</v>
      </c>
      <c r="F10" s="18">
        <f>F6*Assumptions!B9</f>
        <v>68284117100.87442</v>
      </c>
      <c r="G10" s="18">
        <f>G6*Assumptions!B9</f>
        <v>75985255978.16743</v>
      </c>
      <c r="H10" s="18">
        <f>H6*Assumptions!B9</f>
        <v>82887423567.47447</v>
      </c>
      <c r="I10" s="18">
        <f>I6*Assumptions!B9</f>
        <v>88597572256.58247</v>
      </c>
      <c r="J10" s="18">
        <f>J6*Assumptions!B9</f>
        <v>92756803499.817</v>
      </c>
      <c r="K10" s="18">
        <f>K6*Assumptions!B9</f>
        <v>95075723587.31242</v>
      </c>
    </row>
    <row r="11" spans="1:11" x14ac:dyDescent="0.25">
      <c r="A11" t="s">
        <v>54</v>
      </c>
      <c r="B11" s="18">
        <f>-B6*B19</f>
        <v>-88341181335.6186</v>
      </c>
      <c r="C11" s="18">
        <f>-C6*C19</f>
        <v>-100929846559.6469</v>
      </c>
      <c r="D11" s="18">
        <f>-D6*D19</f>
        <v>-112912231765.75583</v>
      </c>
      <c r="E11" s="18">
        <f>-E6*E19</f>
        <v>-123609854218.34943</v>
      </c>
      <c r="F11" s="18">
        <f>-F6*F19</f>
        <v>-132328774173.87004</v>
      </c>
      <c r="G11" s="18">
        <f>-G6*G19</f>
        <v>-138423512952.27182</v>
      </c>
      <c r="H11" s="18">
        <f>-H6*H19</f>
        <v>-141365864104.41382</v>
      </c>
      <c r="I11" s="18">
        <f>-I6*I19</f>
        <v>-140809669139.27466</v>
      </c>
      <c r="J11" s="18">
        <f>-J6*J19</f>
        <v>-136641762112.5496</v>
      </c>
      <c r="K11" s="18">
        <f>-K6*K19</f>
        <v>-129010104126.33061</v>
      </c>
    </row>
    <row r="12" spans="1:11" x14ac:dyDescent="0.25">
      <c r="A12" t="s">
        <v>55</v>
      </c>
      <c r="B12" s="18">
        <f>-(B6-Assumptions!B29)*Assumptions!B11</f>
        <v>-9625304879.804306</v>
      </c>
      <c r="C12" s="18">
        <f>-(C6-B6)*Assumptions!B11</f>
        <v>-11934542769.861893</v>
      </c>
      <c r="D12" s="18">
        <f>-(D6-C6)*Assumptions!B11</f>
        <v>-12760385482.3418</v>
      </c>
      <c r="E12" s="18">
        <f>-(E6-D6)*Assumptions!B11</f>
        <v>-13191802002.121737</v>
      </c>
      <c r="F12" s="18">
        <f>-(F6-E6)*Assumptions!B11</f>
        <v>-13121282990.665163</v>
      </c>
      <c r="G12" s="18">
        <f>-(G6-F6)*Assumptions!B11</f>
        <v>-12463817173.365034</v>
      </c>
      <c r="H12" s="18">
        <f>-(H6-G6)*Assumptions!B11</f>
        <v>-11170731537.734257</v>
      </c>
      <c r="I12" s="18">
        <f>-(I6-H6)*Assumptions!B11</f>
        <v>-9241522640.712181</v>
      </c>
      <c r="J12" s="18">
        <f>-(J6-I6)*Assumptions!B11</f>
        <v>-6731458635.329127</v>
      </c>
      <c r="K12" s="18">
        <f>-(K6-J6)*Assumptions!B11</f>
        <v>-3753028801.416178</v>
      </c>
    </row>
    <row r="13" spans="1:11" x14ac:dyDescent="0.25">
      <c r="A13" s="19" t="s">
        <v>56</v>
      </c>
      <c r="B13" s="20">
        <f>B9+B10+B11+B12</f>
        <v>82849763453.69308</v>
      </c>
      <c r="C13" s="20">
        <f>C9+C10+C11+C12</f>
        <v>104216664746.96939</v>
      </c>
      <c r="D13" s="20">
        <f>D9+D10+D11+D12</f>
        <v>130182681690.80225</v>
      </c>
      <c r="E13" s="20">
        <f>E9+E10+E11+E12</f>
        <v>159138807991.42807</v>
      </c>
      <c r="F13" s="20">
        <f>F9+F10+F11+F12</f>
        <v>190361290281.513</v>
      </c>
      <c r="G13" s="20">
        <f>G9+G10+G11+G12</f>
        <v>222797097226.13074</v>
      </c>
      <c r="H13" s="20">
        <f>H9+H10+H11+H12</f>
        <v>255091687131.2188</v>
      </c>
      <c r="I13" s="20">
        <f>I9+I10+I11+I12</f>
        <v>285658770991.87695</v>
      </c>
      <c r="J13" s="20">
        <f>J9+J10+J11+J12</f>
        <v>312791235798.38586</v>
      </c>
      <c r="K13" s="20">
        <f>K9+K10+K11+K12</f>
        <v>334805435032.1743</v>
      </c>
    </row>
    <row r="14" spans="1:11" x14ac:dyDescent="0.25">
      <c r="A14" t="s">
        <v>57</v>
      </c>
      <c r="B14" s="21">
        <f>1/(1+Assumptions!$B$26)^(1-0.5*Assumptions!$B$32)</f>
        <v>0.9563755099393352</v>
      </c>
      <c r="C14" s="21">
        <f>1/(1+Assumptions!$B$26)^(2-0.5*Assumptions!$B$32)</f>
        <v>0.8747527966188242</v>
      </c>
      <c r="D14" s="21">
        <f>1/(1+Assumptions!$B$26)^(3-0.5*Assumptions!$B$32)</f>
        <v>0.8000962459201737</v>
      </c>
      <c r="E14" s="21">
        <f>1/(1+Assumptions!$B$26)^(4-0.5*Assumptions!$B$32)</f>
        <v>0.7318113245364152</v>
      </c>
      <c r="F14" s="21">
        <f>1/(1+Assumptions!$B$26)^(5-0.5*Assumptions!$B$32)</f>
        <v>0.6693542401312235</v>
      </c>
      <c r="G14" s="21">
        <f>1/(1+Assumptions!$B$26)^(6-0.5*Assumptions!$B$32)</f>
        <v>0.6122276108059231</v>
      </c>
      <c r="H14" s="21">
        <f>1/(1+Assumptions!$B$26)^(7-0.5*Assumptions!$B$32)</f>
        <v>0.5599765041596613</v>
      </c>
      <c r="I14" s="21">
        <f>1/(1+Assumptions!$B$26)^(8-0.5*Assumptions!$B$32)</f>
        <v>0.5121848143994903</v>
      </c>
      <c r="J14" s="21">
        <f>1/(1+Assumptions!$B$26)^(9-0.5*Assumptions!$B$32)</f>
        <v>0.46847194864919456</v>
      </c>
      <c r="K14" s="21">
        <f>1/(1+Assumptions!$B$26)^(10-0.5*Assumptions!$B$32)</f>
        <v>0.42848979606801857</v>
      </c>
    </row>
    <row r="15" spans="1:11" x14ac:dyDescent="0.25">
      <c r="A15" s="19" t="s">
        <v>58</v>
      </c>
      <c r="B15" s="20">
        <f>B13*B14</f>
        <v>79235484771.37901</v>
      </c>
      <c r="C15" s="20">
        <f>C13*C14</f>
        <v>91163818941.6979</v>
      </c>
      <c r="D15" s="20">
        <f>D13*D14</f>
        <v>104158674904.6318</v>
      </c>
      <c r="E15" s="20">
        <f>E13*E14</f>
        <v>116459581861.35323</v>
      </c>
      <c r="F15" s="20">
        <f>F13*F14</f>
        <v>127419136806.78139</v>
      </c>
      <c r="G15" s="20">
        <f>G13*G14</f>
        <v>136402534529.249</v>
      </c>
      <c r="H15" s="20">
        <f>H13*H14</f>
        <v>142845351199.92996</v>
      </c>
      <c r="I15" s="20">
        <f>I13*I14</f>
        <v>146310084602.061</v>
      </c>
      <c r="J15" s="20">
        <f>J13*J14</f>
        <v>146533919754.85953</v>
      </c>
      <c r="K15" s="20">
        <f>K13*K14</f>
        <v>143460712579.4006</v>
      </c>
    </row>
    <row r="17" spans="1:2" x14ac:dyDescent="0.25">
      <c r="A17" s="22" t="s">
        <v>59</v>
      </c>
      <c r="B17" s="23">
        <f>SUM(B15:K15)</f>
        <v>1233989299951.3433</v>
      </c>
    </row>
    <row r="19" spans="1:11" x14ac:dyDescent="0.25">
      <c r="A19" t="s">
        <v>7</v>
      </c>
      <c r="B19" s="9">
        <f>Assumptions!$B$10+($B$20-Assumptions!$B$10)*0/9</f>
        <v>0.22315517609035057</v>
      </c>
      <c r="C19" s="9">
        <f>Assumptions!$B$10+($B$20-Assumptions!$B$10)*1/9</f>
        <v>0.21236302880169444</v>
      </c>
      <c r="D19" s="9">
        <f>Assumptions!$B$10+($B$20-Assumptions!$B$10)*2/9</f>
        <v>0.20157088151303834</v>
      </c>
      <c r="E19" s="9">
        <f>Assumptions!$B$10+($B$20-Assumptions!$B$10)*3/9</f>
        <v>0.19077873422438224</v>
      </c>
      <c r="F19" s="9">
        <f>Assumptions!$B$10+($B$20-Assumptions!$B$10)*4/9</f>
        <v>0.1799865869357261</v>
      </c>
      <c r="G19" s="9">
        <f>Assumptions!$B$10+($B$20-Assumptions!$B$10)*5/9</f>
        <v>0.16919443964706998</v>
      </c>
      <c r="H19" s="9">
        <f>Assumptions!$B$10+($B$20-Assumptions!$B$10)*6/9</f>
        <v>0.15840229235841388</v>
      </c>
      <c r="I19" s="9">
        <f>Assumptions!$B$10+($B$20-Assumptions!$B$10)*7/9</f>
        <v>0.14761014506975775</v>
      </c>
      <c r="J19" s="9">
        <f>Assumptions!$B$10+($B$20-Assumptions!$B$10)*8/9</f>
        <v>0.13681799778110165</v>
      </c>
      <c r="K19" s="9">
        <f>Assumptions!$B$10+($B$20-Assumptions!$B$10)*9/9</f>
        <v>0.12602585049244552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0.12602585049244552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334805435032.1743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372492844372.6087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0.09110075818013097</v>
      </c>
    </row>
    <row r="7" spans="1:2" x14ac:dyDescent="0.25">
      <c r="A7" t="s">
        <v>66</v>
      </c>
      <c r="B7" s="18">
        <f>-MAX(B5,0)*B6</f>
        <v>-33934380539.018185</v>
      </c>
    </row>
    <row r="8" spans="1:2" x14ac:dyDescent="0.25">
      <c r="A8" t="s">
        <v>67</v>
      </c>
      <c r="B8" s="18">
        <f>IF(OR(Assumptions!$B$33=0,Assumptions!B12&lt;=0),B5,MAX(B5+B7,0))</f>
        <v>338558463833.5905</v>
      </c>
    </row>
    <row r="9" spans="1:2" x14ac:dyDescent="0.25">
      <c r="A9" t="s">
        <v>68</v>
      </c>
      <c r="B9" s="18">
        <f>B8*(1+Assumptions!B12)/(Assumptions!B26-Assumptions!B12)</f>
        <v>5080151599096.213</v>
      </c>
    </row>
    <row r="10" spans="1:2" x14ac:dyDescent="0.25">
      <c r="A10" t="s">
        <v>69</v>
      </c>
      <c r="B10" s="18">
        <f>B9/(1+Assumptions!B26)^(10-0.5*Assumptions!B32)</f>
        <v>2176793122691.3547</v>
      </c>
    </row>
    <row r="11" spans="1:2" x14ac:dyDescent="0.25">
      <c r="A11" t="s">
        <v>70</v>
      </c>
      <c r="B11" s="18">
        <f>Forecast!B17+B10</f>
        <v>3410782422642.698</v>
      </c>
    </row>
    <row r="12" spans="1:2" x14ac:dyDescent="0.25">
      <c r="A12" t="s">
        <v>71</v>
      </c>
      <c r="B12" s="18">
        <f>-Assumptions!B30</f>
        <v>19825000000</v>
      </c>
    </row>
    <row r="13" spans="1:2" x14ac:dyDescent="0.25">
      <c r="A13" t="s">
        <v>72</v>
      </c>
      <c r="B13" s="18">
        <f>B11+B12</f>
        <v>3430607422642.698</v>
      </c>
    </row>
    <row r="14" spans="1:2" x14ac:dyDescent="0.25">
      <c r="A14" s="19" t="s">
        <v>73</v>
      </c>
      <c r="B14" s="24">
        <f>B13/Assumptions!B31</f>
        <v>460.29886255772146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552711615471.8405</v>
      </c>
    </row>
    <row r="18" spans="1:2" x14ac:dyDescent="0.25">
      <c r="A18" t="s">
        <v>68</v>
      </c>
      <c r="B18" s="18">
        <f>B17*Assumptions!B13</f>
        <v>10998781182151.203</v>
      </c>
    </row>
    <row r="19" spans="1:2" x14ac:dyDescent="0.25">
      <c r="A19" t="s">
        <v>69</v>
      </c>
      <c r="B19" s="18">
        <f>B18/(1+Assumptions!B26)^(10-0.5*Assumptions!B32)</f>
        <v>4712865505736.7295</v>
      </c>
    </row>
    <row r="20" spans="1:2" x14ac:dyDescent="0.25">
      <c r="A20" t="s">
        <v>70</v>
      </c>
      <c r="B20" s="18">
        <f>Forecast!B17+B19</f>
        <v>5946854805688.072</v>
      </c>
    </row>
    <row r="21" spans="1:2" x14ac:dyDescent="0.25">
      <c r="A21" t="s">
        <v>71</v>
      </c>
      <c r="B21" s="18">
        <f>-Assumptions!B30</f>
        <v>19825000000</v>
      </c>
    </row>
    <row r="22" spans="1:2" x14ac:dyDescent="0.25">
      <c r="A22" t="s">
        <v>72</v>
      </c>
      <c r="B22" s="18">
        <f>B20+B21</f>
        <v>5966679805688.072</v>
      </c>
    </row>
    <row r="23" spans="1:2" x14ac:dyDescent="0.25">
      <c r="A23" s="19" t="s">
        <v>73</v>
      </c>
      <c r="B23" s="25">
        <f>B22/Assumptions!B31</f>
        <v>800.5742393248453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521.91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460.29886255772146</v>
      </c>
    </row>
    <row r="29" spans="1:2" x14ac:dyDescent="0.25">
      <c r="A29" s="19" t="s">
        <v>81</v>
      </c>
      <c r="B29" s="11">
        <f>B28/B26-1</f>
        <v>-0.11804935226816593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0.073309</v>
      </c>
      <c r="B5" s="31">
        <v>610.9552823477392</v>
      </c>
      <c r="C5" s="31">
        <v>641.3205997173709</v>
      </c>
      <c r="D5" s="31">
        <v>678.3701715532095</v>
      </c>
      <c r="E5" s="31">
        <v>724.419078254089</v>
      </c>
      <c r="F5" s="31">
        <v>782.9910354736576</v>
      </c>
    </row>
    <row r="6" spans="1:6" x14ac:dyDescent="0.25">
      <c r="A6" s="30">
        <v>0.083309</v>
      </c>
      <c r="B6" s="31">
        <v>509.63210495014573</v>
      </c>
      <c r="C6" s="31">
        <v>528.1986637295795</v>
      </c>
      <c r="D6" s="31">
        <v>550.2610803712885</v>
      </c>
      <c r="E6" s="31">
        <v>576.8030136933735</v>
      </c>
      <c r="F6" s="31">
        <v>609.2153587714033</v>
      </c>
    </row>
    <row r="7" spans="1:6" x14ac:dyDescent="0.25">
      <c r="A7" s="30">
        <v>0.093309</v>
      </c>
      <c r="B7" s="31">
        <v>434.84824196331385</v>
      </c>
      <c r="C7" s="31">
        <v>446.5901871618979</v>
      </c>
      <c r="D7" s="32">
        <v>460.302400346679</v>
      </c>
      <c r="E7" s="31">
        <v>476.4517032932814</v>
      </c>
      <c r="F7" s="31">
        <v>495.6650377504451</v>
      </c>
    </row>
    <row r="8" spans="1:6" x14ac:dyDescent="0.25">
      <c r="A8" s="30">
        <v>0.103309</v>
      </c>
      <c r="B8" s="31">
        <v>377.5450595407086</v>
      </c>
      <c r="C8" s="31">
        <v>385.1053350922036</v>
      </c>
      <c r="D8" s="31">
        <v>393.8383079186458</v>
      </c>
      <c r="E8" s="31">
        <v>403.9839275367958</v>
      </c>
      <c r="F8" s="31">
        <v>415.85239760760066</v>
      </c>
    </row>
    <row r="9" spans="1:6" x14ac:dyDescent="0.25">
      <c r="A9" s="30">
        <v>0.113309</v>
      </c>
      <c r="B9" s="31">
        <v>332.3529573859007</v>
      </c>
      <c r="C9" s="31">
        <v>337.240043482968</v>
      </c>
      <c r="D9" s="31">
        <v>342.8544276556396</v>
      </c>
      <c r="E9" s="31">
        <v>349.32706179547694</v>
      </c>
      <c r="F9" s="31">
        <v>356.8223427088174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331839000000</v>
      </c>
      <c r="C5" s="18">
        <v>281724000000</v>
      </c>
      <c r="D5" s="18">
        <v>245122000000</v>
      </c>
      <c r="E5" s="18">
        <v>211915000000</v>
      </c>
      <c r="F5" s="6" t="s">
        <v>91</v>
      </c>
    </row>
    <row r="6" spans="1:6" x14ac:dyDescent="0.25">
      <c r="A6" t="s">
        <v>51</v>
      </c>
      <c r="B6" s="18">
        <v>155237000000</v>
      </c>
      <c r="C6" s="18">
        <v>128528000000</v>
      </c>
      <c r="D6" s="18">
        <v>109433000000</v>
      </c>
      <c r="E6" s="18">
        <v>88523000000</v>
      </c>
      <c r="F6" s="6" t="s">
        <v>92</v>
      </c>
    </row>
    <row r="7" spans="1:6" x14ac:dyDescent="0.25">
      <c r="A7" t="s">
        <v>93</v>
      </c>
      <c r="B7" s="18">
        <v>38534000000</v>
      </c>
      <c r="C7" s="18">
        <v>29433000000</v>
      </c>
      <c r="D7" s="18">
        <v>20958000000</v>
      </c>
      <c r="E7" s="18">
        <v>13861000000</v>
      </c>
      <c r="F7" s="6" t="s">
        <v>94</v>
      </c>
    </row>
    <row r="8" spans="1:6" x14ac:dyDescent="0.25">
      <c r="A8" t="s">
        <v>95</v>
      </c>
      <c r="B8" s="18">
        <v>115948000000</v>
      </c>
      <c r="C8" s="18">
        <v>64551000000</v>
      </c>
      <c r="D8" s="18">
        <v>44477000000</v>
      </c>
      <c r="E8" s="18">
        <v>28107000000</v>
      </c>
      <c r="F8" s="6" t="s">
        <v>96</v>
      </c>
    </row>
    <row r="9" spans="1:6" x14ac:dyDescent="0.25">
      <c r="A9" t="s">
        <v>97</v>
      </c>
      <c r="B9" s="18">
        <v>4895000000</v>
      </c>
      <c r="C9" s="18">
        <v>5350000000</v>
      </c>
      <c r="D9" s="18">
        <v>-1824000000</v>
      </c>
      <c r="E9" s="18">
        <v>2388000000</v>
      </c>
      <c r="F9" s="6" t="s">
        <v>98</v>
      </c>
    </row>
    <row r="10" spans="1:6" x14ac:dyDescent="0.25">
      <c r="A10" t="s">
        <v>99</v>
      </c>
      <c r="B10" s="18">
        <v>56826000000</v>
      </c>
      <c r="C10" s="18">
        <v>60588000000</v>
      </c>
      <c r="D10" s="18">
        <v>67127000000</v>
      </c>
      <c r="E10" s="18">
        <v>59965000000</v>
      </c>
      <c r="F10" s="6" t="s">
        <v>100</v>
      </c>
    </row>
    <row r="11" spans="1:6" x14ac:dyDescent="0.25">
      <c r="A11" t="s">
        <v>101</v>
      </c>
      <c r="B11" s="18">
        <v>76651000000</v>
      </c>
      <c r="C11" s="18">
        <v>94555000000</v>
      </c>
      <c r="D11" s="18">
        <v>75531000000</v>
      </c>
      <c r="E11" s="18">
        <v>111256000000</v>
      </c>
      <c r="F11" s="6" t="s">
        <v>102</v>
      </c>
    </row>
    <row r="12" spans="1:6" x14ac:dyDescent="0.25">
      <c r="A12" t="s">
        <v>34</v>
      </c>
      <c r="B12" s="34">
        <v>7453000000</v>
      </c>
      <c r="C12" s="34">
        <v>7465000000</v>
      </c>
      <c r="D12" s="34">
        <v>7469000000</v>
      </c>
      <c r="E12" s="34">
        <v>7472000000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