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<sst xmlns="http://schemas.openxmlformats.org/spreadsheetml/2006/main" count="112" uniqueCount="100">
  <si>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Microsoft Corporation (MSFT)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</si>
  <si>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</si>
  <si>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</si>
  <si>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</si>
  <si>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</si>
  <si>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</si>
  <si>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</si>
  <si>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</si>
  <si>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</si>
  <si>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</si>
  <si>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</si>
  <si>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</si>
  <si>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</si>
  <si>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</si>
  <si>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</si>
  <si>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</si>
  <si>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</si>
  <si>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</si>
  <si>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</si>
  <si>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</si>
  <si>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</si>
  <si>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</si>
  <si>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</si>
  <si>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</si>
  <si>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</si>
  <si>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</si>
  <si>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</si>
  <si>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</si>
  <si>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</si>
  <si>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</si>
  <si>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</si>
  <si>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</si>
  <si>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</si>
  <si>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</si>
  <si>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</si>
  <si>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</si>
  <si>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</si>
  <si>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</si>
  <si>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</si>
  <si>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</si>
  <si>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</si>
  <si>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</si>
  <si>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</si>
  <si>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</si>
  <si>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</si>
  <si>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</si>
  <si>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</si>
  <si>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</si>
  <si>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</si>
  <si>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</si>
  <si>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</si>
  <si>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</si>
  <si>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</si>
  <si>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</si>
  <si>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</si>
  <si>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</si>
  <si>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</si>
  <si>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</si>
  <si>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</si>
  <si>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</si>
  <si>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</si>
  <si>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</si>
  <si>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</si>
  <si>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</si>
  <si>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</si>
  <si>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</si>
  <si>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</si>
  <si>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</si>
  <si>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</si>
  <si>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</si>
  <si>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</si>
  <si>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</si>
  <si>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</si>
  <si>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</si>
  <si>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</si>
  <si>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</si>
  <si>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</si>
  <si>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</si>
  <si>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</si>
  <si>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</si>
  <si>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</si>
  <si>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</si>
  <si>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</si>
  <si>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</si>
  <si>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</si>
  <si>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</si>
  <si>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</si>
  <si>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</si>
  <si>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</si>
  <si>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</si>
  <si>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</si>
  <si>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</si>
  <si>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</si>
  <si>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</si>
  <si>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</si>
  <si>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</si>
  <si>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</si>
  <si>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</si>
  <si>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22.3% of revenue against depreciation of 9.3%.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</si>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</sst>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0.1612397915820203</v>
      </c>
    </row>
    <row r="7" spans="1:2" x14ac:dyDescent="0.25">
      <c r="A7" t="s">
        <v>5</v>
      </c>
      <c r="B7" s="6">
        <v>0.4470498871479122</v>
      </c>
    </row>
    <row r="8" spans="1:2" x14ac:dyDescent="0.25">
      <c r="A8" t="s">
        <v>6</v>
      </c>
      <c r="B8" s="6">
        <v>0.18604975925577727</v>
      </c>
    </row>
    <row r="9" spans="1:2" x14ac:dyDescent="0.25">
      <c r="A9" t="s">
        <v>7</v>
      </c>
      <c r="B9" s="6">
        <v>0.09287643791483631</v>
      </c>
    </row>
    <row r="10" spans="1:2" x14ac:dyDescent="0.25">
      <c r="A10" t="s">
        <v>8</v>
      </c>
      <c r="B10" s="6">
        <v>0.22315517609035057</v>
      </c>
    </row>
    <row r="11" spans="1:2" x14ac:dyDescent="0.25">
      <c r="A11" t="s">
        <v>9</v>
      </c>
      <c r="B11" s="6">
        <v>0.09767534670258406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18.81995162206935</v>
      </c>
    </row>
    <row r="14" spans="1:3" x14ac:dyDescent="0.25">
      <c r="A14" t="s">
        <v>12</v>
      </c>
      <c r="B14" s="6">
        <v>0.27442142633509375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1.0723600000000002</v>
      </c>
      <c r="C19" s="8" t="s">
        <v>19</v>
      </c>
    </row>
    <row r="20" spans="1:2" x14ac:dyDescent="0.25">
      <c r="A20" t="s">
        <v>20</v>
      </c>
      <c r="B20" s="10">
        <f>B17+B19*B18</f>
        <v>0.10895980000000002</v>
      </c>
    </row>
    <row r="21" spans="1:3" x14ac:dyDescent="0.25">
      <c r="A21" t="s">
        <v>21</v>
      </c>
      <c r="B21" s="6">
        <v>0.05196995247585467</v>
      </c>
      <c r="C21" s="8" t="s">
        <v>22</v>
      </c>
    </row>
    <row r="22" spans="1:2" x14ac:dyDescent="0.25">
      <c r="A22" t="s">
        <v>23</v>
      </c>
      <c r="B22" s="11">
        <v>3666585845760</v>
      </c>
    </row>
    <row r="23" spans="1:2" x14ac:dyDescent="0.25">
      <c r="A23" t="s">
        <v>24</v>
      </c>
      <c r="B23" s="11">
        <v>56826000000</v>
      </c>
    </row>
    <row r="24" spans="1:2" x14ac:dyDescent="0.25">
      <c r="A24" t="s">
        <v>25</v>
      </c>
      <c r="B24" s="10">
        <f>B22/(B22+B23)</f>
        <v>0.9847381911123504</v>
      </c>
    </row>
    <row r="25" spans="1:2" x14ac:dyDescent="0.25">
      <c r="A25" t="s">
        <v>26</v>
      </c>
      <c r="B25" s="10">
        <f>1-B24</f>
        <v>0.015261808887649608</v>
      </c>
    </row>
    <row r="26" spans="1:2" x14ac:dyDescent="0.25">
      <c r="A26" t="s">
        <v>27</v>
      </c>
      <c r="B26" s="12">
        <f>B24*B20+B25*B21*(1-B8)</f>
        <v>0.10794246545196257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331839000000</v>
      </c>
      <c r="C29" s="8" t="s">
        <v>30</v>
      </c>
    </row>
    <row r="30" spans="1:2" x14ac:dyDescent="0.25">
      <c r="A30" t="s">
        <v>31</v>
      </c>
      <c r="B30" s="11">
        <v>-19825000000</v>
      </c>
    </row>
    <row r="31" spans="1:2" x14ac:dyDescent="0.25">
      <c r="A31" t="s">
        <v>32</v>
      </c>
      <c r="B31" s="13">
        <v>7453000000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0.1612397915820203</v>
      </c>
      <c r="C5" s="10">
        <f>Assumptions!B6</f>
        <v>0.1612397915820203</v>
      </c>
      <c r="D5" s="10">
        <f>Assumptions!B6</f>
        <v>0.1612397915820203</v>
      </c>
      <c r="E5" s="10">
        <f>Assumptions!B6</f>
        <v>0.1612397915820203</v>
      </c>
      <c r="F5" s="10">
        <f>Assumptions!B6</f>
        <v>0.1612397915820203</v>
      </c>
    </row>
    <row r="6" spans="1:6" x14ac:dyDescent="0.25">
      <c r="A6" t="s">
        <v>43</v>
      </c>
      <c r="B6" s="18">
        <f>Assumptions!B29*(1+B5)</f>
        <v>385344651198.786</v>
      </c>
      <c r="C6" s="18">
        <f>B6*(1+C5)</f>
        <v>447477542445.3246</v>
      </c>
      <c r="D6" s="18">
        <f>C6*(1+D5)</f>
        <v>519628728126.8434</v>
      </c>
      <c r="E6" s="18">
        <f>D6*(1+E5)</f>
        <v>603413555950.0459</v>
      </c>
      <c r="F6" s="18">
        <f>E6*(1+F5)</f>
        <v>700707831949.197</v>
      </c>
    </row>
    <row r="7" spans="1:6" x14ac:dyDescent="0.25">
      <c r="A7" t="s">
        <v>5</v>
      </c>
      <c r="B7" s="10">
        <f>Assumptions!B7</f>
        <v>0.4470498871479122</v>
      </c>
      <c r="C7" s="10">
        <f>Assumptions!B7</f>
        <v>0.4470498871479122</v>
      </c>
      <c r="D7" s="10">
        <f>Assumptions!B7</f>
        <v>0.4470498871479122</v>
      </c>
      <c r="E7" s="10">
        <f>Assumptions!B7</f>
        <v>0.4470498871479122</v>
      </c>
      <c r="F7" s="10">
        <f>Assumptions!B7</f>
        <v>0.4470498871479122</v>
      </c>
    </row>
    <row r="8" spans="1:6" x14ac:dyDescent="0.25">
      <c r="A8" t="s">
        <v>44</v>
      </c>
      <c r="B8" s="18">
        <f>B6*B7</f>
        <v>172268282831.46887</v>
      </c>
      <c r="C8" s="18">
        <f>C6*C7</f>
        <v>200044784851.40744</v>
      </c>
      <c r="D8" s="18">
        <f>D6*D7</f>
        <v>232299964267.9185</v>
      </c>
      <c r="E8" s="18">
        <f>E6*E7</f>
        <v>269755962090.98843</v>
      </c>
      <c r="F8" s="18">
        <f>F6*F7</f>
        <v>313251357196.54675</v>
      </c>
    </row>
    <row r="9" spans="1:6" x14ac:dyDescent="0.25">
      <c r="A9" t="s">
        <v>45</v>
      </c>
      <c r="B9" s="18">
        <f>B8*(1-Assumptions!B8)</f>
        <v>140217810283.26794</v>
      </c>
      <c r="C9" s="18">
        <f>C8*(1-Assumptions!B8)</f>
        <v>162826500789.42932</v>
      </c>
      <c r="D9" s="18">
        <f>D8*(1-Assumptions!B8)</f>
        <v>189080611840.74658</v>
      </c>
      <c r="E9" s="18">
        <f>E8*(1-Assumptions!B8)</f>
        <v>219567930286.14944</v>
      </c>
      <c r="F9" s="18">
        <f>F8*(1-Assumptions!B8)</f>
        <v>254971017603.58374</v>
      </c>
    </row>
    <row r="10" spans="1:6" x14ac:dyDescent="0.25">
      <c r="A10" t="s">
        <v>46</v>
      </c>
      <c r="B10" s="18">
        <f>B6*Assumptions!B9</f>
        <v>35789438572.8783</v>
      </c>
      <c r="C10" s="18">
        <f>C6*Assumptions!B9</f>
        <v>41560120189.20672</v>
      </c>
      <c r="D10" s="18">
        <f>D6*Assumptions!B9</f>
        <v>48261265306.63812</v>
      </c>
      <c r="E10" s="18">
        <f>E6*Assumptions!B9</f>
        <v>56042901666.16505</v>
      </c>
      <c r="F10" s="18">
        <f>F6*Assumptions!B9</f>
        <v>65079247450.469154</v>
      </c>
    </row>
    <row r="11" spans="1:6" x14ac:dyDescent="0.25">
      <c r="A11" t="s">
        <v>47</v>
      </c>
      <c r="B11" s="18">
        <f>-B6*Assumptions!B10</f>
        <v>-85991653493.7398</v>
      </c>
      <c r="C11" s="18">
        <f>-C6*Assumptions!B10</f>
        <v>-99856929780.86372</v>
      </c>
      <c r="D11" s="18">
        <f>-D6*Assumptions!B10</f>
        <v>-115957840326.75064</v>
      </c>
      <c r="E11" s="18">
        <f>-E6*Assumptions!B10</f>
        <v>-134654858333.3371</v>
      </c>
      <c r="F11" s="18">
        <f>-F6*Assumptions!B10</f>
        <v>-156366579626.51083</v>
      </c>
    </row>
    <row r="12" spans="1:6" x14ac:dyDescent="0.25">
      <c r="A12" t="s">
        <v>48</v>
      </c>
      <c r="B12" s="18">
        <f>-(B6-Assumptions!B29)*Assumptions!B11</f>
        <v>-5226183031.388956</v>
      </c>
      <c r="C12" s="18">
        <f>-(C6-B6)*Assumptions!B11</f>
        <v>-6068851694.1396055</v>
      </c>
      <c r="D12" s="18">
        <f>-(D6-C6)*Assumptions!B11</f>
        <v>-7047392076.444867</v>
      </c>
      <c r="E12" s="18">
        <f>-(E6-D6)*Assumptions!B11</f>
        <v>-8183712106.047617</v>
      </c>
      <c r="F12" s="18">
        <f>-(F6-E6)*Assumptions!B11</f>
        <v>-9503252140.39399</v>
      </c>
    </row>
    <row r="13" spans="1:6" x14ac:dyDescent="0.25">
      <c r="A13" s="19" t="s">
        <v>49</v>
      </c>
      <c r="B13" s="20">
        <f>B9+B10+B11+B12</f>
        <v>84789412331.01747</v>
      </c>
      <c r="C13" s="20">
        <f>C9+C10+C11+C12</f>
        <v>98460839503.63272</v>
      </c>
      <c r="D13" s="20">
        <f>D9+D10+D11+D12</f>
        <v>114336644744.1892</v>
      </c>
      <c r="E13" s="20">
        <f>E9+E10+E11+E12</f>
        <v>132772261512.9298</v>
      </c>
      <c r="F13" s="20">
        <f>F9+F10+F11+F12</f>
        <v>154180433287.1481</v>
      </c>
    </row>
    <row r="14" spans="1:6" x14ac:dyDescent="0.25">
      <c r="A14" t="s">
        <v>50</v>
      </c>
      <c r="B14" s="21">
        <f>1/(1+Assumptions!$B$26)^(1-0.5*Assumptions!$B$32)</f>
        <v>0.9500389167327661</v>
      </c>
      <c r="C14" s="21">
        <f>1/(1+Assumptions!$B$26)^(2-0.5*Assumptions!$B$32)</f>
        <v>0.8574803713703825</v>
      </c>
      <c r="D14" s="21">
        <f>1/(1+Assumptions!$B$26)^(3-0.5*Assumptions!$B$32)</f>
        <v>0.7739394400959178</v>
      </c>
      <c r="E14" s="21">
        <f>1/(1+Assumptions!$B$26)^(4-0.5*Assumptions!$B$32)</f>
        <v>0.6985375723280044</v>
      </c>
      <c r="F14" s="21">
        <f>1/(1+Assumptions!$B$26)^(5-0.5*Assumptions!$B$32)</f>
        <v>0.6304818112040234</v>
      </c>
    </row>
    <row r="15" spans="1:6" x14ac:dyDescent="0.25">
      <c r="A15" s="19" t="s">
        <v>51</v>
      </c>
      <c r="B15" s="20">
        <f>B13*B14</f>
        <v>80553241441.36768</v>
      </c>
      <c r="C15" s="20">
        <f>C13*C14</f>
        <v>84428237223.0146</v>
      </c>
      <c r="D15" s="20">
        <f>D13*D14</f>
        <v>88489638815.76364</v>
      </c>
      <c r="E15" s="20">
        <f>E13*E14</f>
        <v>92746413229.7409</v>
      </c>
      <c r="F15" s="20">
        <f>F13*F14</f>
        <v>97207958831.10223</v>
      </c>
    </row>
    <row r="17" spans="1:2" x14ac:dyDescent="0.25">
      <c r="A17" s="22" t="s">
        <v>52</v>
      </c>
      <c r="B17" s="23">
        <f>SUM(B15:F15)</f>
        <v>443425489540.9891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154180433287.1481</v>
      </c>
    </row>
    <row r="5" spans="1:2" x14ac:dyDescent="0.25">
      <c r="A5" t="s">
        <v>56</v>
      </c>
      <c r="B5" s="18">
        <f>IF(Assumptions!$B$33=0,B4,B4-Forecast!F11-Forecast!F10-Forecast!F12)</f>
        <v>254971017603.58374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0.09110075818013097</v>
      </c>
    </row>
    <row r="7" spans="1:2" x14ac:dyDescent="0.25">
      <c r="A7" t="s">
        <v>58</v>
      </c>
      <c r="B7" s="18">
        <f>-MAX(Forecast!F9,0)*B6</f>
        <v>-23228053017.646</v>
      </c>
    </row>
    <row r="8" spans="1:2" x14ac:dyDescent="0.25">
      <c r="A8" t="s">
        <v>59</v>
      </c>
      <c r="B8" s="18">
        <f>IF(OR(Assumptions!$B$33=0,Assumptions!B12&lt;=0),B5,MAX(B5+B7,0))</f>
        <v>231742964585.93774</v>
      </c>
    </row>
    <row r="9" spans="1:2" x14ac:dyDescent="0.25">
      <c r="A9" t="s">
        <v>60</v>
      </c>
      <c r="B9" s="18">
        <f>B8*(1+Assumptions!B12)/(Assumptions!B26-Assumptions!B12)</f>
        <v>2863871207664.537</v>
      </c>
    </row>
    <row r="10" spans="1:2" x14ac:dyDescent="0.25">
      <c r="A10" t="s">
        <v>61</v>
      </c>
      <c r="B10" s="18">
        <f>B9/(1+Assumptions!B26)^(5-0.5*Assumptions!B32)</f>
        <v>1805618706063.391</v>
      </c>
    </row>
    <row r="11" spans="1:2" x14ac:dyDescent="0.25">
      <c r="A11" t="s">
        <v>62</v>
      </c>
      <c r="B11" s="18">
        <f>Forecast!B17+B10</f>
        <v>2249044195604.3804</v>
      </c>
    </row>
    <row r="12" spans="1:2" x14ac:dyDescent="0.25">
      <c r="A12" t="s">
        <v>63</v>
      </c>
      <c r="B12" s="18">
        <f>-Assumptions!B30</f>
        <v>19825000000</v>
      </c>
    </row>
    <row r="13" spans="1:2" x14ac:dyDescent="0.25">
      <c r="A13" t="s">
        <v>64</v>
      </c>
      <c r="B13" s="18">
        <f>B11+B12</f>
        <v>2268869195604.3804</v>
      </c>
    </row>
    <row r="14" spans="1:2" x14ac:dyDescent="0.25">
      <c r="A14" s="19" t="s">
        <v>65</v>
      </c>
      <c r="B14" s="24">
        <f>B13/Assumptions!B31</f>
        <v>304.4236140620395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378330604647.0159</v>
      </c>
    </row>
    <row r="18" spans="1:2" x14ac:dyDescent="0.25">
      <c r="A18" t="s">
        <v>60</v>
      </c>
      <c r="B18" s="18">
        <f>B17*Assumptions!B13</f>
        <v>7120163676605.086</v>
      </c>
    </row>
    <row r="19" spans="1:2" x14ac:dyDescent="0.25">
      <c r="A19" t="s">
        <v>61</v>
      </c>
      <c r="B19" s="18">
        <f>B18/(1+Assumptions!B26)^(5-0.5*Assumptions!B32)</f>
        <v>4489133690895.072</v>
      </c>
    </row>
    <row r="20" spans="1:2" x14ac:dyDescent="0.25">
      <c r="A20" t="s">
        <v>62</v>
      </c>
      <c r="B20" s="18">
        <f>Forecast!B17+B19</f>
        <v>4932559180436.062</v>
      </c>
    </row>
    <row r="21" spans="1:2" x14ac:dyDescent="0.25">
      <c r="A21" t="s">
        <v>63</v>
      </c>
      <c r="B21" s="18">
        <f>-Assumptions!B30</f>
        <v>19825000000</v>
      </c>
    </row>
    <row r="22" spans="1:2" x14ac:dyDescent="0.25">
      <c r="A22" t="s">
        <v>64</v>
      </c>
      <c r="B22" s="18">
        <f>B20+B21</f>
        <v>4952384180436.062</v>
      </c>
    </row>
    <row r="23" spans="1:2" x14ac:dyDescent="0.25">
      <c r="A23" s="19" t="s">
        <v>65</v>
      </c>
      <c r="B23" s="25">
        <f>B22/Assumptions!B31</f>
        <v>664.4819777855979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493.78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304.4236140620395</v>
      </c>
    </row>
    <row r="29" spans="1:2" x14ac:dyDescent="0.25">
      <c r="A29" s="19" t="s">
        <v>73</v>
      </c>
      <c r="B29" s="12">
        <f>B28/B26-1</f>
        <v>-0.38348330417991916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0.087942</v>
      </c>
      <c r="B5" s="31">
        <v>373.0268420221079</v>
      </c>
      <c r="C5" s="31">
        <v>390.9159114040854</v>
      </c>
      <c r="D5" s="31">
        <v>411.57936097288695</v>
      </c>
      <c r="E5" s="31">
        <v>435.73542107614213</v>
      </c>
      <c r="F5" s="31">
        <v>464.37364930549484</v>
      </c>
    </row>
    <row r="6" spans="1:6" x14ac:dyDescent="0.25">
      <c r="A6" s="30">
        <v>0.097942</v>
      </c>
      <c r="B6" s="31">
        <v>323.49236924511496</v>
      </c>
      <c r="C6" s="31">
        <v>336.1713683389364</v>
      </c>
      <c r="D6" s="31">
        <v>350.5324765126173</v>
      </c>
      <c r="E6" s="31">
        <v>366.9470639966172</v>
      </c>
      <c r="F6" s="31">
        <v>385.9045049712098</v>
      </c>
    </row>
    <row r="7" spans="1:6" x14ac:dyDescent="0.25">
      <c r="A7" s="30">
        <v>0.107942</v>
      </c>
      <c r="B7" s="31">
        <v>284.8330895388933</v>
      </c>
      <c r="C7" s="31">
        <v>294.09466731825944</v>
      </c>
      <c r="D7" s="32">
        <v>304.4254964481911</v>
      </c>
      <c r="E7" s="31">
        <v>316.03135520302635</v>
      </c>
      <c r="F7" s="31">
        <v>329.174444295298</v>
      </c>
    </row>
    <row r="8" spans="1:6" x14ac:dyDescent="0.25">
      <c r="A8" s="30">
        <v>0.117942</v>
      </c>
      <c r="B8" s="31">
        <v>253.86900698981606</v>
      </c>
      <c r="C8" s="31">
        <v>260.79489797403744</v>
      </c>
      <c r="D8" s="31">
        <v>268.4253650319097</v>
      </c>
      <c r="E8" s="31">
        <v>276.8805855656384</v>
      </c>
      <c r="F8" s="31">
        <v>286.30971563774733</v>
      </c>
    </row>
    <row r="9" spans="1:6" x14ac:dyDescent="0.25">
      <c r="A9" s="30">
        <v>0.127942</v>
      </c>
      <c r="B9" s="31">
        <v>228.54698339463835</v>
      </c>
      <c r="C9" s="31">
        <v>233.82361793309397</v>
      </c>
      <c r="D9" s="31">
        <v>239.5776125410357</v>
      </c>
      <c r="E9" s="31">
        <v>245.88207580356794</v>
      </c>
      <c r="F9" s="31">
        <v>252.8258483935712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331839000000</v>
      </c>
      <c r="C5" s="18">
        <v>281724000000</v>
      </c>
      <c r="D5" s="18">
        <v>245122000000</v>
      </c>
      <c r="E5" s="18">
        <v>211915000000</v>
      </c>
      <c r="F5" s="8" t="s">
        <v>84</v>
      </c>
    </row>
    <row r="6" spans="1:6" x14ac:dyDescent="0.25">
      <c r="A6" t="s">
        <v>44</v>
      </c>
      <c r="B6" s="18">
        <v>155237000000</v>
      </c>
      <c r="C6" s="18">
        <v>128528000000</v>
      </c>
      <c r="D6" s="18">
        <v>109433000000</v>
      </c>
      <c r="E6" s="18">
        <v>88523000000</v>
      </c>
      <c r="F6" s="8" t="s">
        <v>85</v>
      </c>
    </row>
    <row r="7" spans="1:6" x14ac:dyDescent="0.25">
      <c r="A7" t="s">
        <v>86</v>
      </c>
      <c r="B7" s="18">
        <v>38534000000</v>
      </c>
      <c r="C7" s="18">
        <v>29433000000</v>
      </c>
      <c r="D7" s="18">
        <v>20958000000</v>
      </c>
      <c r="E7" s="18">
        <v>13861000000</v>
      </c>
      <c r="F7" s="8" t="s">
        <v>87</v>
      </c>
    </row>
    <row r="8" spans="1:6" x14ac:dyDescent="0.25">
      <c r="A8" t="s">
        <v>88</v>
      </c>
      <c r="B8" s="18">
        <v>115948000000</v>
      </c>
      <c r="C8" s="18">
        <v>64551000000</v>
      </c>
      <c r="D8" s="18">
        <v>44477000000</v>
      </c>
      <c r="E8" s="18">
        <v>28107000000</v>
      </c>
      <c r="F8" s="8" t="s">
        <v>89</v>
      </c>
    </row>
    <row r="9" spans="1:6" x14ac:dyDescent="0.25">
      <c r="A9" t="s">
        <v>90</v>
      </c>
      <c r="B9" s="18">
        <v>4895000000</v>
      </c>
      <c r="C9" s="18">
        <v>5350000000</v>
      </c>
      <c r="D9" s="18">
        <v>-1824000000</v>
      </c>
      <c r="E9" s="18">
        <v>2388000000</v>
      </c>
      <c r="F9" s="8" t="s">
        <v>91</v>
      </c>
    </row>
    <row r="10" spans="1:6" x14ac:dyDescent="0.25">
      <c r="A10" t="s">
        <v>92</v>
      </c>
      <c r="B10" s="18">
        <v>56826000000</v>
      </c>
      <c r="C10" s="18">
        <v>60588000000</v>
      </c>
      <c r="D10" s="18">
        <v>67127000000</v>
      </c>
      <c r="E10" s="18">
        <v>59965000000</v>
      </c>
      <c r="F10" s="8" t="s">
        <v>93</v>
      </c>
    </row>
    <row r="11" spans="1:6" x14ac:dyDescent="0.25">
      <c r="A11" t="s">
        <v>94</v>
      </c>
      <c r="B11" s="18">
        <v>76651000000</v>
      </c>
      <c r="C11" s="18">
        <v>94555000000</v>
      </c>
      <c r="D11" s="18">
        <v>75531000000</v>
      </c>
      <c r="E11" s="18">
        <v>111256000000</v>
      </c>
      <c r="F11" s="8" t="s">
        <v>95</v>
      </c>
    </row>
    <row r="12" spans="1:6" x14ac:dyDescent="0.25">
      <c r="A12" t="s">
        <v>32</v>
      </c>
      <c r="B12" s="34">
        <v>7453000000</v>
      </c>
      <c r="C12" s="34">
        <v>7465000000</v>
      </c>
      <c r="D12" s="34">
        <v>7469000000</v>
      </c>
      <c r="E12" s="34">
        <v>7472000000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2026-09-19T01:05:44Z</dcterms:modified>
</cp:coreProperties>
</file>