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<sst xmlns="http://schemas.openxmlformats.org/spreadsheetml/2006/main" count="120" uniqueCount="107">
  <si>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Motorola Solutions, Inc. (MSI)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</si>
  <si>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</si>
  <si>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</si>
  <si>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</si>
  <si>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</si>
  <si>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</si>
  <si>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</si>
  <si>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</si>
  <si>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</si>
  <si>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</si>
  <si>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</si>
  <si>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</si>
  <si>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</si>
  <si>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</si>
  <si>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</si>
  <si>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</si>
  <si>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</si>
  <si>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</si>
  <si>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</si>
  <si>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</si>
  <si>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</si>
  <si>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</si>
  <si>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</si>
  <si>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</si>
  <si>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8.2x interest cover. Book interest / average debt was lower, at 4.4%.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</si>
  <si>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</si>
  <si>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</si>
  <si>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</si>
  <si>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</si>
  <si>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</si>
  <si>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</si>
  <si>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</si>
  <si>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</si>
  <si>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</si>
  <si>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</si>
  <si>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</si>
  <si>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</si>
  <si>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</si>
  <si>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</si>
  <si>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</si>
  <si>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</si>
  <si>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</si>
  <si>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</si>
  <si>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</si>
  <si>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</si>
  <si>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</si>
  <si>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</si>
  <si>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</si>
  <si>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</si>
  <si>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</si>
  <si>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</si>
  <si>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</si>
  <si>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</si>
  <si>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</si>
  <si>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</si>
  <si>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</si>
  <si>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</si>
  <si>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</si>
  <si>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</si>
  <si>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</si>
  <si>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</si>
  <si>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</si>
  <si>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</si>
  <si>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</si>
  <si>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</si>
  <si>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</si>
  <si>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</si>
  <si>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</si>
  <si>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</si>
  <si>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</si>
  <si>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</si>
  <si>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</si>
  <si>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</si>
  <si>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</si>
  <si>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</si>
  <si>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</si>
  <si>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</si>
  <si>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</si>
  <si>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</si>
  <si>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</si>
  <si>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</si>
  <si>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</si>
  <si>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</si>
  <si>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</si>
  <si>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</si>
  <si>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</si>
  <si>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</si>
  <si>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</si>
  <si>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</si>
  <si>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</si>
  <si>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</si>
  <si>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</si>
  <si>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</si>
  <si>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</si>
  <si>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</si>
  <si>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</si>
  <si>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</si>
  <si>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</si>
  <si>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</si>
  <si>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</si>
  <si>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</si>
  <si>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</si>
  <si>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</si>
  <si>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</si>
  <si>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</si>
  <si>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26.5x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</si>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</sst>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0.11481940677966107</v>
      </c>
    </row>
    <row r="7" spans="1:2" x14ac:dyDescent="0.25">
      <c r="A7" t="s">
        <v>4</v>
      </c>
      <c r="B7" s="5">
        <v>0.23239804773074305</v>
      </c>
    </row>
    <row r="8" spans="1:2" x14ac:dyDescent="0.25">
      <c r="A8" t="s">
        <v>5</v>
      </c>
      <c r="B8" s="5">
        <v>0.19953675785318786</v>
      </c>
    </row>
    <row r="9" spans="1:2" x14ac:dyDescent="0.25">
      <c r="A9" t="s">
        <v>6</v>
      </c>
      <c r="B9" s="5">
        <v>0.03785235954741502</v>
      </c>
    </row>
    <row r="10" spans="1:3" x14ac:dyDescent="0.25">
      <c r="A10" t="s">
        <v>7</v>
      </c>
      <c r="B10" s="5">
        <v>0.024973493151859795</v>
      </c>
      <c r="C10" s="6" t="s">
        <v>8</v>
      </c>
    </row>
    <row r="11" spans="1:2" x14ac:dyDescent="0.25">
      <c r="A11" t="s">
        <v>9</v>
      </c>
      <c r="B11" s="5">
        <v>0.15092322952462053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0.2535707834953762</v>
      </c>
      <c r="C14" s="6" t="s">
        <v>13</v>
      </c>
    </row>
    <row r="15" spans="1:3" x14ac:dyDescent="0.25">
      <c r="A15" t="s">
        <v>14</v>
      </c>
      <c r="B15" s="5">
        <v>0.017845768756979942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0.91223</v>
      </c>
      <c r="C19" s="6" t="s">
        <v>21</v>
      </c>
    </row>
    <row r="20" spans="1:2" x14ac:dyDescent="0.25">
      <c r="A20" t="s">
        <v>22</v>
      </c>
      <c r="B20" s="9">
        <f>B17+B19*B18</f>
        <v>0.087527329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80906608640</v>
      </c>
    </row>
    <row r="23" spans="1:2" x14ac:dyDescent="0.25">
      <c r="A23" t="s">
        <v>26</v>
      </c>
      <c r="B23" s="10">
        <v>9766000000</v>
      </c>
    </row>
    <row r="24" spans="1:2" x14ac:dyDescent="0.25">
      <c r="A24" t="s">
        <v>27</v>
      </c>
      <c r="B24" s="9">
        <f>B22/(B22+B23)</f>
        <v>0.892293823388558</v>
      </c>
    </row>
    <row r="25" spans="1:2" x14ac:dyDescent="0.25">
      <c r="A25" t="s">
        <v>28</v>
      </c>
      <c r="B25" s="9">
        <f>1-B24</f>
        <v>0.107706176611442</v>
      </c>
    </row>
    <row r="26" spans="1:2" x14ac:dyDescent="0.25">
      <c r="A26" t="s">
        <v>29</v>
      </c>
      <c r="B26" s="11">
        <f>B24*B20+B25*B21*(1-B8)</f>
        <v>0.08279363067974338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11682000000</v>
      </c>
      <c r="C29" s="6" t="s">
        <v>32</v>
      </c>
    </row>
    <row r="30" spans="1:2" x14ac:dyDescent="0.25">
      <c r="A30" t="s">
        <v>33</v>
      </c>
      <c r="B30" s="10">
        <v>8603000000</v>
      </c>
    </row>
    <row r="31" spans="1:2" x14ac:dyDescent="0.25">
      <c r="A31" t="s">
        <v>34</v>
      </c>
      <c r="B31" s="12">
        <v>169000000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0.11481940677966107</v>
      </c>
      <c r="C5" s="5">
        <v>0.08908713080712061</v>
      </c>
      <c r="D5" s="5">
        <v>0.08107623945623053</v>
      </c>
      <c r="E5" s="5">
        <v>0.07306534810534046</v>
      </c>
      <c r="F5" s="5">
        <v>0.06505445675445037</v>
      </c>
      <c r="G5" s="5">
        <v>0.0570435654035603</v>
      </c>
      <c r="H5" s="5">
        <v>0.04903267405267023</v>
      </c>
      <c r="I5" s="5">
        <v>0.04102178270178015</v>
      </c>
      <c r="J5" s="5">
        <v>0.03301089135089007</v>
      </c>
      <c r="K5" s="5">
        <v>0.024999999999999994</v>
      </c>
    </row>
    <row r="6" spans="1:11" x14ac:dyDescent="0.25">
      <c r="A6" t="s">
        <v>50</v>
      </c>
      <c r="B6" s="18">
        <f>Assumptions!B29*(1+B5)</f>
        <v>13023320310</v>
      </c>
      <c r="C6" s="18">
        <f>B6*(1+C5)</f>
        <v>14183530550</v>
      </c>
      <c r="D6" s="18">
        <f>C6*(1+D5)</f>
        <v>15333477869.206562</v>
      </c>
      <c r="E6" s="18">
        <f>D6*(1+E5)</f>
        <v>16453823767.385674</v>
      </c>
      <c r="F6" s="18">
        <f>E6*(1+F5)</f>
        <v>17524218334.106415</v>
      </c>
      <c r="G6" s="18">
        <f>F6*(1+G5)</f>
        <v>18523862228.794285</v>
      </c>
      <c r="H6" s="18">
        <f>G6*(1+H5)</f>
        <v>19432136727.655327</v>
      </c>
      <c r="I6" s="18">
        <f>H6*(1+I5)</f>
        <v>20229277617.928486</v>
      </c>
      <c r="J6" s="18">
        <f>I6*(1+J5)</f>
        <v>20897064103.480915</v>
      </c>
      <c r="K6" s="18">
        <f>J6*(1+K5)</f>
        <v>21419490706.067936</v>
      </c>
    </row>
    <row r="7" spans="1:11" x14ac:dyDescent="0.25">
      <c r="A7" t="s">
        <v>4</v>
      </c>
      <c r="B7" s="9">
        <f>Assumptions!B7</f>
        <v>0.23239804773074305</v>
      </c>
      <c r="C7" s="9">
        <f>Assumptions!B7</f>
        <v>0.23239804773074305</v>
      </c>
      <c r="D7" s="9">
        <f>Assumptions!B7</f>
        <v>0.23239804773074305</v>
      </c>
      <c r="E7" s="9">
        <f>Assumptions!B7</f>
        <v>0.23239804773074305</v>
      </c>
      <c r="F7" s="9">
        <f>Assumptions!B7</f>
        <v>0.23239804773074305</v>
      </c>
      <c r="G7" s="9">
        <f>Assumptions!B7</f>
        <v>0.23239804773074305</v>
      </c>
      <c r="H7" s="9">
        <f>Assumptions!B7</f>
        <v>0.23239804773074305</v>
      </c>
      <c r="I7" s="9">
        <f>Assumptions!B7</f>
        <v>0.23239804773074305</v>
      </c>
      <c r="J7" s="9">
        <f>Assumptions!B7</f>
        <v>0.23239804773074305</v>
      </c>
      <c r="K7" s="9">
        <f>Assumptions!B7</f>
        <v>0.23239804773074305</v>
      </c>
    </row>
    <row r="8" spans="1:11" x14ac:dyDescent="0.25">
      <c r="A8" t="s">
        <v>51</v>
      </c>
      <c r="B8" s="18">
        <f>B6*B7</f>
        <v>3026594215.016135</v>
      </c>
      <c r="C8" s="18">
        <f>C6*C7</f>
        <v>3296224809.749352</v>
      </c>
      <c r="D8" s="18">
        <f>D6*D7</f>
        <v>3563470321.7261586</v>
      </c>
      <c r="E8" s="18">
        <f>E6*E7</f>
        <v>3823836521.24613</v>
      </c>
      <c r="F8" s="18">
        <f>F6*F7</f>
        <v>4072594128.853625</v>
      </c>
      <c r="G8" s="18">
        <f>G6*G7</f>
        <v>4304909418.405043</v>
      </c>
      <c r="H8" s="18">
        <f>H6*H7</f>
        <v>4515990638.743968</v>
      </c>
      <c r="I8" s="18">
        <f>I6*I7</f>
        <v>4701244625.409797</v>
      </c>
      <c r="J8" s="18">
        <f>J6*J7</f>
        <v>4856436900.953155</v>
      </c>
      <c r="K8" s="18">
        <f>K6*K7</f>
        <v>4977847823.476983</v>
      </c>
    </row>
    <row r="9" spans="1:11" x14ac:dyDescent="0.25">
      <c r="A9" t="s">
        <v>52</v>
      </c>
      <c r="B9" s="18">
        <f>B8*(1-Assumptions!B8)</f>
        <v>2422677418.014601</v>
      </c>
      <c r="C9" s="18">
        <f>C8*(1-Assumptions!B8)</f>
        <v>2638506798.056725</v>
      </c>
      <c r="D9" s="18">
        <f>D8*(1-Assumptions!B8)</f>
        <v>2852427007.0228643</v>
      </c>
      <c r="E9" s="18">
        <f>E8*(1-Assumptions!B8)</f>
        <v>3060840579.2360644</v>
      </c>
      <c r="F9" s="18">
        <f>F8*(1-Assumptions!B8)</f>
        <v>3259961900.330244</v>
      </c>
      <c r="G9" s="18">
        <f>G8*(1-Assumptions!B8)</f>
        <v>3445921750.204848</v>
      </c>
      <c r="H9" s="18">
        <f>H8*(1-Assumptions!B8)</f>
        <v>3614884508.1936493</v>
      </c>
      <c r="I9" s="18">
        <f>I8*(1-Assumptions!B8)</f>
        <v>3763173514.980801</v>
      </c>
      <c r="J9" s="18">
        <f>J8*(1-Assumptions!B8)</f>
        <v>3887399227.0183787</v>
      </c>
      <c r="K9" s="18">
        <f>K8*(1-Assumptions!B8)</f>
        <v>3984584207.6938376</v>
      </c>
    </row>
    <row r="10" spans="1:11" x14ac:dyDescent="0.25">
      <c r="A10" t="s">
        <v>53</v>
      </c>
      <c r="B10" s="18">
        <f>B6*Assumptions!B9</f>
        <v>492963402.8752724</v>
      </c>
      <c r="C10" s="18">
        <f>C6*Assumptions!B9</f>
        <v>536880098.0303451</v>
      </c>
      <c r="D10" s="18">
        <f>D6*Assumptions!B9</f>
        <v>580408317.4175379</v>
      </c>
      <c r="E10" s="18">
        <f>E6*Assumptions!B9</f>
        <v>622816053.1728853</v>
      </c>
      <c r="F10" s="18">
        <f>F6*Assumptions!B9</f>
        <v>663333013.1699983</v>
      </c>
      <c r="G10" s="18">
        <f>G6*Assumptions!B9</f>
        <v>701171893.2911018</v>
      </c>
      <c r="H10" s="18">
        <f>H6*Assumptions!B9</f>
        <v>735552226.1897382</v>
      </c>
      <c r="I10" s="18">
        <f>I6*Assumptions!B9</f>
        <v>765725889.7783042</v>
      </c>
      <c r="J10" s="18">
        <f>J6*Assumptions!B9</f>
        <v>791003183.9303395</v>
      </c>
      <c r="K10" s="18">
        <f>K6*Assumptions!B9</f>
        <v>810778263.5285978</v>
      </c>
    </row>
    <row r="11" spans="1:11" x14ac:dyDescent="0.25">
      <c r="A11" t="s">
        <v>54</v>
      </c>
      <c r="B11" s="18">
        <f>-B6*B19</f>
        <v>-325237800.5762616</v>
      </c>
      <c r="C11" s="18">
        <f>-C6*C19</f>
        <v>-374371552.86380136</v>
      </c>
      <c r="D11" s="18">
        <f>-D6*D19</f>
        <v>-426517876.4979519</v>
      </c>
      <c r="E11" s="18">
        <f>-E6*E19</f>
        <v>-481067602.837781</v>
      </c>
      <c r="F11" s="18">
        <f>-F6*F19</f>
        <v>-537270610.3505774</v>
      </c>
      <c r="G11" s="18">
        <f>-G6*G19</f>
        <v>-594246665.3102045</v>
      </c>
      <c r="H11" s="18">
        <f>-H6*H19</f>
        <v>-651003335.3298746</v>
      </c>
      <c r="I11" s="18">
        <f>-I6*I19</f>
        <v>-706460807.1284947</v>
      </c>
      <c r="J11" s="18">
        <f>-J6*J19</f>
        <v>-759482996.7611355</v>
      </c>
      <c r="K11" s="18">
        <f>-K6*K19</f>
        <v>-808913892.5821453</v>
      </c>
    </row>
    <row r="12" spans="1:11" x14ac:dyDescent="0.25">
      <c r="A12" t="s">
        <v>55</v>
      </c>
      <c r="B12" s="18">
        <f>-(B6-Assumptions!B29)*Assumptions!B11</f>
        <v>-202436393.01216516</v>
      </c>
      <c r="C12" s="18">
        <f>-(C6-B6)*Assumptions!B11</f>
        <v>-175102676.3483351</v>
      </c>
      <c r="D12" s="18">
        <f>-(D6-C6)*Assumptions!B11</f>
        <v>-173553763.19783404</v>
      </c>
      <c r="E12" s="18">
        <f>-(E6-D6)*Assumptions!B11</f>
        <v>-169086221.13785318</v>
      </c>
      <c r="F12" s="18">
        <f>-(F6-E6)*Assumptions!B11</f>
        <v>-161547404.87510118</v>
      </c>
      <c r="G12" s="18">
        <f>-(G6-F6)*Assumptions!B11</f>
        <v>-150869484.960863</v>
      </c>
      <c r="H12" s="18">
        <f>-(H6-G6)*Assumptions!B11</f>
        <v>-137079720.66296473</v>
      </c>
      <c r="I12" s="18">
        <f>-(I6-H6)*Assumptions!B11</f>
        <v>-120307077.54615633</v>
      </c>
      <c r="J12" s="18">
        <f>-(J6-I6)*Assumptions!B11</f>
        <v>-100784493.03246896</v>
      </c>
      <c r="K12" s="18">
        <f>-(K6-J6)*Assumptions!B11</f>
        <v>-78846310.05200867</v>
      </c>
    </row>
    <row r="13" spans="1:11" x14ac:dyDescent="0.25">
      <c r="A13" s="19" t="s">
        <v>56</v>
      </c>
      <c r="B13" s="20">
        <f>B9+B10+B11+B12</f>
        <v>2387966627.301447</v>
      </c>
      <c r="C13" s="20">
        <f>C9+C10+C11+C12</f>
        <v>2625912666.8749332</v>
      </c>
      <c r="D13" s="20">
        <f>D9+D10+D11+D12</f>
        <v>2832763684.744616</v>
      </c>
      <c r="E13" s="20">
        <f>E9+E10+E11+E12</f>
        <v>3033502808.4333158</v>
      </c>
      <c r="F13" s="20">
        <f>F9+F10+F11+F12</f>
        <v>3224476898.274564</v>
      </c>
      <c r="G13" s="20">
        <f>G9+G10+G11+G12</f>
        <v>3401977493.224882</v>
      </c>
      <c r="H13" s="20">
        <f>H9+H10+H11+H12</f>
        <v>3562353678.390548</v>
      </c>
      <c r="I13" s="20">
        <f>I9+I10+I11+I12</f>
        <v>3702131520.0844545</v>
      </c>
      <c r="J13" s="20">
        <f>J9+J10+J11+J12</f>
        <v>3818134921.1551137</v>
      </c>
      <c r="K13" s="20">
        <f>K9+K10+K11+K12</f>
        <v>3907602268.588281</v>
      </c>
    </row>
    <row r="14" spans="1:11" x14ac:dyDescent="0.25">
      <c r="A14" t="s">
        <v>57</v>
      </c>
      <c r="B14" s="21">
        <f>1/(1+Assumptions!$B$26)^(1-0.5*Assumptions!$B$32)</f>
        <v>0.9610083336125866</v>
      </c>
      <c r="C14" s="21">
        <f>1/(1+Assumptions!$B$26)^(2-0.5*Assumptions!$B$32)</f>
        <v>0.8875267699989111</v>
      </c>
      <c r="D14" s="21">
        <f>1/(1+Assumptions!$B$26)^(3-0.5*Assumptions!$B$32)</f>
        <v>0.8196638259145929</v>
      </c>
      <c r="E14" s="21">
        <f>1/(1+Assumptions!$B$26)^(4-0.5*Assumptions!$B$32)</f>
        <v>0.756989884951608</v>
      </c>
      <c r="F14" s="21">
        <f>1/(1+Assumptions!$B$26)^(5-0.5*Assumptions!$B$32)</f>
        <v>0.6991081804539188</v>
      </c>
      <c r="G14" s="21">
        <f>1/(1+Assumptions!$B$26)^(6-0.5*Assumptions!$B$32)</f>
        <v>0.6456522837274549</v>
      </c>
      <c r="H14" s="21">
        <f>1/(1+Assumptions!$B$26)^(7-0.5*Assumptions!$B$32)</f>
        <v>0.5962837843090516</v>
      </c>
      <c r="I14" s="21">
        <f>1/(1+Assumptions!$B$26)^(8-0.5*Assumptions!$B$32)</f>
        <v>0.5506901476089433</v>
      </c>
      <c r="J14" s="21">
        <f>1/(1+Assumptions!$B$26)^(9-0.5*Assumptions!$B$32)</f>
        <v>0.5085827363643037</v>
      </c>
      <c r="K14" s="21">
        <f>1/(1+Assumptions!$B$26)^(10-0.5*Assumptions!$B$32)</f>
        <v>0.4696949833783486</v>
      </c>
    </row>
    <row r="15" spans="1:11" x14ac:dyDescent="0.25">
      <c r="A15" s="19" t="s">
        <v>58</v>
      </c>
      <c r="B15" s="20">
        <f>B13*B14</f>
        <v>2294855829.2254324</v>
      </c>
      <c r="C15" s="20">
        <f>C13*C14</f>
        <v>2330567787.530736</v>
      </c>
      <c r="D15" s="20">
        <f>D13*D14</f>
        <v>2321913919.7496915</v>
      </c>
      <c r="E15" s="20">
        <f>E13*E14</f>
        <v>2296330941.9563155</v>
      </c>
      <c r="F15" s="20">
        <f>F13*F14</f>
        <v>2254258177.268426</v>
      </c>
      <c r="G15" s="20">
        <f>G13*G14</f>
        <v>2196494537.6900473</v>
      </c>
      <c r="H15" s="20">
        <f>H13*H14</f>
        <v>2124173732.3979862</v>
      </c>
      <c r="I15" s="20">
        <f>I13*I14</f>
        <v>2038727353.2630298</v>
      </c>
      <c r="J15" s="20">
        <f>J13*J14</f>
        <v>1941837506.009173</v>
      </c>
      <c r="K15" s="20">
        <f>K13*K14</f>
        <v>1835381182.59377</v>
      </c>
    </row>
    <row r="17" spans="1:2" x14ac:dyDescent="0.25">
      <c r="A17" s="22" t="s">
        <v>59</v>
      </c>
      <c r="B17" s="23">
        <f>SUM(B15:K15)</f>
        <v>21634540967.68461</v>
      </c>
    </row>
    <row r="19" spans="1:11" x14ac:dyDescent="0.25">
      <c r="A19" t="s">
        <v>7</v>
      </c>
      <c r="B19" s="9">
        <f>Assumptions!$B$10+($B$20-Assumptions!$B$10)*0/9</f>
        <v>0.024973493151859795</v>
      </c>
      <c r="C19" s="9">
        <f>Assumptions!$B$10+($B$20-Assumptions!$B$10)*1/9</f>
        <v>0.02639480709997141</v>
      </c>
      <c r="D19" s="9">
        <f>Assumptions!$B$10+($B$20-Assumptions!$B$10)*2/9</f>
        <v>0.027816121048083026</v>
      </c>
      <c r="E19" s="9">
        <f>Assumptions!$B$10+($B$20-Assumptions!$B$10)*3/9</f>
        <v>0.02923743499619464</v>
      </c>
      <c r="F19" s="9">
        <f>Assumptions!$B$10+($B$20-Assumptions!$B$10)*4/9</f>
        <v>0.030658748944306254</v>
      </c>
      <c r="G19" s="9">
        <f>Assumptions!$B$10+($B$20-Assumptions!$B$10)*5/9</f>
        <v>0.03208006289241787</v>
      </c>
      <c r="H19" s="9">
        <f>Assumptions!$B$10+($B$20-Assumptions!$B$10)*6/9</f>
        <v>0.033501376840529486</v>
      </c>
      <c r="I19" s="9">
        <f>Assumptions!$B$10+($B$20-Assumptions!$B$10)*7/9</f>
        <v>0.0349226907886411</v>
      </c>
      <c r="J19" s="9">
        <f>Assumptions!$B$10+($B$20-Assumptions!$B$10)*8/9</f>
        <v>0.036344004736752714</v>
      </c>
      <c r="K19" s="9">
        <f>Assumptions!$B$10+($B$20-Assumptions!$B$10)*9/9</f>
        <v>0.03776531868486433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0.03776531868486433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3907602268.588281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4327607509.704197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0.09859180010955745</v>
      </c>
    </row>
    <row r="7" spans="1:2" x14ac:dyDescent="0.25">
      <c r="A7" t="s">
        <v>66</v>
      </c>
      <c r="B7" s="18">
        <f>-MAX(B5,0)*B6</f>
        <v>-426666614.5493759</v>
      </c>
    </row>
    <row r="8" spans="1:2" x14ac:dyDescent="0.25">
      <c r="A8" t="s">
        <v>67</v>
      </c>
      <c r="B8" s="18">
        <f>IF(OR(Assumptions!$B$33=0,Assumptions!B12&lt;=0),B5,MAX(B5+B7,0))</f>
        <v>3900940895.154821</v>
      </c>
    </row>
    <row r="9" spans="1:2" x14ac:dyDescent="0.25">
      <c r="A9" t="s">
        <v>68</v>
      </c>
      <c r="B9" s="18">
        <f>B8*(1+Assumptions!B12)/(Assumptions!B26-Assumptions!B12)</f>
        <v>69185209001.50247</v>
      </c>
    </row>
    <row r="10" spans="1:2" x14ac:dyDescent="0.25">
      <c r="A10" t="s">
        <v>69</v>
      </c>
      <c r="B10" s="18">
        <f>B9/(1+Assumptions!B26)^(10-0.5*Assumptions!B32)</f>
        <v>32495945591.988277</v>
      </c>
    </row>
    <row r="11" spans="1:2" x14ac:dyDescent="0.25">
      <c r="A11" t="s">
        <v>70</v>
      </c>
      <c r="B11" s="18">
        <f>Forecast!B17+B10</f>
        <v>54130486559.67288</v>
      </c>
    </row>
    <row r="12" spans="1:2" x14ac:dyDescent="0.25">
      <c r="A12" t="s">
        <v>71</v>
      </c>
      <c r="B12" s="18">
        <f>-Assumptions!B30</f>
        <v>-8603000000</v>
      </c>
    </row>
    <row r="13" spans="1:2" x14ac:dyDescent="0.25">
      <c r="A13" t="s">
        <v>72</v>
      </c>
      <c r="B13" s="18">
        <f>B11+B12</f>
        <v>45527486559.67288</v>
      </c>
    </row>
    <row r="14" spans="1:2" x14ac:dyDescent="0.25">
      <c r="A14" s="19" t="s">
        <v>73</v>
      </c>
      <c r="B14" s="24">
        <f>B13/Assumptions!B31</f>
        <v>269.3934115956975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5788626087.005581</v>
      </c>
    </row>
    <row r="18" spans="1:2" x14ac:dyDescent="0.25">
      <c r="A18" t="s">
        <v>68</v>
      </c>
      <c r="B18" s="18">
        <f>B17*Assumptions!B13</f>
        <v>115772521740.11162</v>
      </c>
    </row>
    <row r="19" spans="1:2" x14ac:dyDescent="0.25">
      <c r="A19" t="s">
        <v>69</v>
      </c>
      <c r="B19" s="18">
        <f>B18/(1+Assumptions!B26)^(10-0.5*Assumptions!B32)</f>
        <v>54377772674.39123</v>
      </c>
    </row>
    <row r="20" spans="1:2" x14ac:dyDescent="0.25">
      <c r="A20" t="s">
        <v>70</v>
      </c>
      <c r="B20" s="18">
        <f>Forecast!B17+B19</f>
        <v>76012313642.07584</v>
      </c>
    </row>
    <row r="21" spans="1:2" x14ac:dyDescent="0.25">
      <c r="A21" t="s">
        <v>71</v>
      </c>
      <c r="B21" s="18">
        <f>-Assumptions!B30</f>
        <v>-8603000000</v>
      </c>
    </row>
    <row r="22" spans="1:2" x14ac:dyDescent="0.25">
      <c r="A22" t="s">
        <v>72</v>
      </c>
      <c r="B22" s="18">
        <f>B20+B21</f>
        <v>67409313642.075836</v>
      </c>
    </row>
    <row r="23" spans="1:2" x14ac:dyDescent="0.25">
      <c r="A23" s="19" t="s">
        <v>73</v>
      </c>
      <c r="B23" s="25">
        <f>B22/Assumptions!B31</f>
        <v>398.8716783554783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488.88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269.3934115956975</v>
      </c>
    </row>
    <row r="29" spans="1:2" x14ac:dyDescent="0.25">
      <c r="A29" s="19" t="s">
        <v>81</v>
      </c>
      <c r="B29" s="11">
        <f>B28/B26-1</f>
        <v>-0.44895800279066944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0.062794</v>
      </c>
      <c r="B5" s="31">
        <v>379.1707662148155</v>
      </c>
      <c r="C5" s="31">
        <v>406.01509039362213</v>
      </c>
      <c r="D5" s="31">
        <v>440.2855190745415</v>
      </c>
      <c r="E5" s="31">
        <v>485.37875798214856</v>
      </c>
      <c r="F5" s="31">
        <v>547.1357135494973</v>
      </c>
    </row>
    <row r="6" spans="1:6" x14ac:dyDescent="0.25">
      <c r="A6" s="30">
        <v>0.072794</v>
      </c>
      <c r="B6" s="31">
        <v>302.8549461282587</v>
      </c>
      <c r="C6" s="31">
        <v>318.16436023786025</v>
      </c>
      <c r="D6" s="31">
        <v>336.91842395517546</v>
      </c>
      <c r="E6" s="31">
        <v>360.32454355481565</v>
      </c>
      <c r="F6" s="31">
        <v>390.2290660292893</v>
      </c>
    </row>
    <row r="7" spans="1:6" x14ac:dyDescent="0.25">
      <c r="A7" s="30">
        <v>0.082794</v>
      </c>
      <c r="B7" s="31">
        <v>249.18675790544955</v>
      </c>
      <c r="C7" s="31">
        <v>258.39780531257054</v>
      </c>
      <c r="D7" s="32">
        <v>269.39135041186097</v>
      </c>
      <c r="E7" s="31">
        <v>282.6738421441578</v>
      </c>
      <c r="F7" s="31">
        <v>298.96365937490634</v>
      </c>
    </row>
    <row r="8" spans="1:6" x14ac:dyDescent="0.25">
      <c r="A8" s="30">
        <v>0.092794</v>
      </c>
      <c r="B8" s="31">
        <v>209.424406397612</v>
      </c>
      <c r="C8" s="31">
        <v>215.13533215317784</v>
      </c>
      <c r="D8" s="31">
        <v>221.84085406667631</v>
      </c>
      <c r="E8" s="31">
        <v>229.7785576139331</v>
      </c>
      <c r="F8" s="31">
        <v>239.26824631272464</v>
      </c>
    </row>
    <row r="9" spans="1:6" x14ac:dyDescent="0.25">
      <c r="A9" s="30">
        <v>0.102794</v>
      </c>
      <c r="B9" s="31">
        <v>178.8095404822049</v>
      </c>
      <c r="C9" s="31">
        <v>182.39190788421388</v>
      </c>
      <c r="D9" s="31">
        <v>186.56035173449905</v>
      </c>
      <c r="E9" s="31">
        <v>191.43563949636984</v>
      </c>
      <c r="F9" s="31">
        <v>197.17416640648122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11682000000</v>
      </c>
      <c r="C5" s="18">
        <v>10817000000</v>
      </c>
      <c r="D5" s="18">
        <v>9978000000</v>
      </c>
      <c r="E5" s="18">
        <v>9112000000</v>
      </c>
      <c r="F5" s="6" t="s">
        <v>91</v>
      </c>
    </row>
    <row r="6" spans="1:6" x14ac:dyDescent="0.25">
      <c r="A6" t="s">
        <v>51</v>
      </c>
      <c r="B6" s="18">
        <v>2959000000</v>
      </c>
      <c r="C6" s="18">
        <v>2689000000</v>
      </c>
      <c r="D6" s="18">
        <v>2359000000</v>
      </c>
      <c r="E6" s="18">
        <v>1743000000</v>
      </c>
      <c r="F6" s="6" t="s">
        <v>92</v>
      </c>
    </row>
    <row r="7" spans="1:6" x14ac:dyDescent="0.25">
      <c r="A7" t="s">
        <v>93</v>
      </c>
      <c r="B7" s="18">
        <v>425000000</v>
      </c>
      <c r="C7" s="18">
        <v>336000000</v>
      </c>
      <c r="D7" s="18">
        <v>356000000</v>
      </c>
      <c r="E7" s="18">
        <v>440000000</v>
      </c>
      <c r="F7" s="6" t="s">
        <v>94</v>
      </c>
    </row>
    <row r="8" spans="1:6" x14ac:dyDescent="0.25">
      <c r="A8" t="s">
        <v>95</v>
      </c>
      <c r="B8" s="18">
        <v>265000000</v>
      </c>
      <c r="C8" s="18">
        <v>257000000</v>
      </c>
      <c r="D8" s="18">
        <v>253000000</v>
      </c>
      <c r="E8" s="18">
        <v>256000000</v>
      </c>
      <c r="F8" s="6" t="s">
        <v>96</v>
      </c>
    </row>
    <row r="9" spans="1:6" x14ac:dyDescent="0.25">
      <c r="A9" t="s">
        <v>97</v>
      </c>
      <c r="B9" s="18">
        <v>44000000</v>
      </c>
      <c r="C9" s="18">
        <v>371000000</v>
      </c>
      <c r="D9" s="18">
        <v>276000000</v>
      </c>
      <c r="E9" s="18">
        <v>329000000</v>
      </c>
      <c r="F9" s="6" t="s">
        <v>98</v>
      </c>
    </row>
    <row r="10" spans="1:6" x14ac:dyDescent="0.25">
      <c r="A10" t="s">
        <v>99</v>
      </c>
      <c r="B10" s="18">
        <v>9766000000</v>
      </c>
      <c r="C10" s="18">
        <v>6551000000</v>
      </c>
      <c r="D10" s="18">
        <v>6550000000</v>
      </c>
      <c r="E10" s="18">
        <v>6551000000</v>
      </c>
      <c r="F10" s="6" t="s">
        <v>100</v>
      </c>
    </row>
    <row r="11" spans="1:6" x14ac:dyDescent="0.25">
      <c r="A11" t="s">
        <v>101</v>
      </c>
      <c r="B11" s="18">
        <v>1163000000</v>
      </c>
      <c r="C11" s="18">
        <v>2099000000</v>
      </c>
      <c r="D11" s="18">
        <v>1705000000</v>
      </c>
      <c r="E11" s="18">
        <v>1325000000</v>
      </c>
      <c r="F11" s="6" t="s">
        <v>102</v>
      </c>
    </row>
    <row r="12" spans="1:6" x14ac:dyDescent="0.25">
      <c r="A12" t="s">
        <v>34</v>
      </c>
      <c r="B12" s="34">
        <v>169000000</v>
      </c>
      <c r="C12" s="34">
        <v>170800000</v>
      </c>
      <c r="D12" s="34">
        <v>172100000</v>
      </c>
      <c r="E12" s="34">
        <v>171900000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