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<sst xmlns="http://schemas.openxmlformats.org/spreadsheetml/2006/main" count="112" uniqueCount="100">
  <si>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Motorola Solutions, Inc. (MSI)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</si>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</sst>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0.08634515122371456</v>
      </c>
    </row>
    <row r="7" spans="1:2" x14ac:dyDescent="0.25">
      <c r="A7" t="s">
        <v>5</v>
      </c>
      <c r="B7" s="6">
        <v>0.23239804773074305</v>
      </c>
    </row>
    <row r="8" spans="1:2" x14ac:dyDescent="0.25">
      <c r="A8" t="s">
        <v>6</v>
      </c>
      <c r="B8" s="6">
        <v>0.19953675785318786</v>
      </c>
    </row>
    <row r="9" spans="1:2" x14ac:dyDescent="0.25">
      <c r="A9" t="s">
        <v>7</v>
      </c>
      <c r="B9" s="6">
        <v>0.03785235954741502</v>
      </c>
    </row>
    <row r="10" spans="1:2" x14ac:dyDescent="0.25">
      <c r="A10" t="s">
        <v>8</v>
      </c>
      <c r="B10" s="6">
        <v>0.024973493151859795</v>
      </c>
    </row>
    <row r="11" spans="1:2" x14ac:dyDescent="0.25">
      <c r="A11" t="s">
        <v>9</v>
      </c>
      <c r="B11" s="6">
        <v>0.3187066974595843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0.2535707834953762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0.92027</v>
      </c>
      <c r="C19" s="8" t="s">
        <v>19</v>
      </c>
    </row>
    <row r="20" spans="1:2" x14ac:dyDescent="0.25">
      <c r="A20" t="s">
        <v>20</v>
      </c>
      <c r="B20" s="10">
        <f>B17+B19*B18</f>
        <v>0.10059485000000001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75907039232</v>
      </c>
    </row>
    <row r="23" spans="1:2" x14ac:dyDescent="0.25">
      <c r="A23" t="s">
        <v>24</v>
      </c>
      <c r="B23" s="11">
        <v>9766000000</v>
      </c>
    </row>
    <row r="24" spans="1:2" x14ac:dyDescent="0.25">
      <c r="A24" t="s">
        <v>25</v>
      </c>
      <c r="B24" s="10">
        <f>B22/(B22+B23)</f>
        <v>0.8860084795923492</v>
      </c>
    </row>
    <row r="25" spans="1:2" x14ac:dyDescent="0.25">
      <c r="A25" t="s">
        <v>26</v>
      </c>
      <c r="B25" s="10">
        <f>1-B24</f>
        <v>0.11399152040765081</v>
      </c>
    </row>
    <row r="26" spans="1:2" x14ac:dyDescent="0.25">
      <c r="A26" t="s">
        <v>27</v>
      </c>
      <c r="B26" s="12">
        <f>B24*B20+B25*B21*(1-B8)</f>
        <v>0.09368836628301802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11682000000</v>
      </c>
      <c r="C29" s="8" t="s">
        <v>30</v>
      </c>
    </row>
    <row r="30" spans="1:2" x14ac:dyDescent="0.25">
      <c r="A30" t="s">
        <v>31</v>
      </c>
      <c r="B30" s="11">
        <v>8603000000</v>
      </c>
    </row>
    <row r="31" spans="1:2" x14ac:dyDescent="0.25">
      <c r="A31" t="s">
        <v>32</v>
      </c>
      <c r="B31" s="13">
        <v>169000000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0.08634515122371456</v>
      </c>
      <c r="C5" s="10">
        <f>Assumptions!B6</f>
        <v>0.08634515122371456</v>
      </c>
      <c r="D5" s="10">
        <f>Assumptions!B6</f>
        <v>0.08634515122371456</v>
      </c>
      <c r="E5" s="10">
        <f>Assumptions!B6</f>
        <v>0.08634515122371456</v>
      </c>
      <c r="F5" s="10">
        <f>Assumptions!B6</f>
        <v>0.08634515122371456</v>
      </c>
    </row>
    <row r="6" spans="1:6" x14ac:dyDescent="0.25">
      <c r="A6" t="s">
        <v>43</v>
      </c>
      <c r="B6" s="18">
        <f>Assumptions!B29*(1+B5)</f>
        <v>12690684056.595434</v>
      </c>
      <c r="C6" s="18">
        <f>B6*(1+C5)</f>
        <v>13786463090.594551</v>
      </c>
      <c r="D6" s="18">
        <f>C6*(1+D5)</f>
        <v>14976857330.992096</v>
      </c>
      <c r="E6" s="18">
        <f>D6*(1+E5)</f>
        <v>16270036342.092606</v>
      </c>
      <c r="F6" s="18">
        <f>E6*(1+F5)</f>
        <v>17674875090.465923</v>
      </c>
    </row>
    <row r="7" spans="1:6" x14ac:dyDescent="0.25">
      <c r="A7" t="s">
        <v>5</v>
      </c>
      <c r="B7" s="10">
        <f>Assumptions!B7</f>
        <v>0.23239804773074305</v>
      </c>
      <c r="C7" s="10">
        <f>Assumptions!B7</f>
        <v>0.23239804773074305</v>
      </c>
      <c r="D7" s="10">
        <f>Assumptions!B7</f>
        <v>0.23239804773074305</v>
      </c>
      <c r="E7" s="10">
        <f>Assumptions!B7</f>
        <v>0.23239804773074305</v>
      </c>
      <c r="F7" s="10">
        <f>Assumptions!B7</f>
        <v>0.23239804773074305</v>
      </c>
    </row>
    <row r="8" spans="1:6" x14ac:dyDescent="0.25">
      <c r="A8" t="s">
        <v>44</v>
      </c>
      <c r="B8" s="18">
        <f>B6*B7</f>
        <v>2949290199.1204457</v>
      </c>
      <c r="C8" s="18">
        <f>C6*C7</f>
        <v>3203947107.36612</v>
      </c>
      <c r="D8" s="18">
        <f>D6*D7</f>
        <v>3480592404.86443</v>
      </c>
      <c r="E8" s="18">
        <f>E6*E7</f>
        <v>3781124682.4105616</v>
      </c>
      <c r="F8" s="18">
        <f>F6*F7</f>
        <v>4107606464.909021</v>
      </c>
    </row>
    <row r="9" spans="1:6" x14ac:dyDescent="0.25">
      <c r="A9" t="s">
        <v>45</v>
      </c>
      <c r="B9" s="18">
        <f>B8*(1-Assumptions!B8)</f>
        <v>2360798394.819769</v>
      </c>
      <c r="C9" s="18">
        <f>C8*(1-Assumptions!B8)</f>
        <v>2564641889.2291846</v>
      </c>
      <c r="D9" s="18">
        <f>D8*(1-Assumptions!B8)</f>
        <v>2786086280.9893513</v>
      </c>
      <c r="E9" s="18">
        <f>E8*(1-Assumptions!B8)</f>
        <v>3026651322.2436934</v>
      </c>
      <c r="F9" s="18">
        <f>F8*(1-Assumptions!B8)</f>
        <v>3287987988.36428</v>
      </c>
    </row>
    <row r="10" spans="1:6" x14ac:dyDescent="0.25">
      <c r="A10" t="s">
        <v>46</v>
      </c>
      <c r="B10" s="18">
        <f>B6*Assumptions!B9</f>
        <v>480372335.81289774</v>
      </c>
      <c r="C10" s="18">
        <f>C6*Assumptions!B9</f>
        <v>521850157.7923514</v>
      </c>
      <c r="D10" s="18">
        <f>D6*Assumptions!B9</f>
        <v>566909388.5830513</v>
      </c>
      <c r="E10" s="18">
        <f>E6*Assumptions!B9</f>
        <v>615859265.4703983</v>
      </c>
      <c r="F10" s="18">
        <f>F6*Assumptions!B9</f>
        <v>669035726.8799657</v>
      </c>
    </row>
    <row r="11" spans="1:6" x14ac:dyDescent="0.25">
      <c r="A11" t="s">
        <v>47</v>
      </c>
      <c r="B11" s="18">
        <f>-B6*Assumptions!B10</f>
        <v>-316930711.37980235</v>
      </c>
      <c r="C11" s="18">
        <f>-C6*Assumptions!B10</f>
        <v>-344296141.58133084</v>
      </c>
      <c r="D11" s="18">
        <f>-D6*Assumptions!B10</f>
        <v>-374024443.99191225</v>
      </c>
      <c r="E11" s="18">
        <f>-E6*Assumptions!B10</f>
        <v>-406319641.1697597</v>
      </c>
      <c r="F11" s="18">
        <f>-F6*Assumptions!B10</f>
        <v>-441403372.031728</v>
      </c>
    </row>
    <row r="12" spans="1:6" x14ac:dyDescent="0.25">
      <c r="A12" t="s">
        <v>48</v>
      </c>
      <c r="B12" s="18">
        <f>-(B6-Assumptions!B29)*Assumptions!B11</f>
        <v>-321474364.45766723</v>
      </c>
      <c r="C12" s="18">
        <f>-(C6-B6)*Assumptions!B11</f>
        <v>-349232117.07131207</v>
      </c>
      <c r="D12" s="18">
        <f>-(D6-C6)*Assumptions!B11</f>
        <v>-379386617.032012</v>
      </c>
      <c r="E12" s="18">
        <f>-(E6-D6)*Assumptions!B11</f>
        <v>-412144811.85189456</v>
      </c>
      <c r="F12" s="18">
        <f>-(F6-E6)*Assumptions!B11</f>
        <v>-447731517.95731604</v>
      </c>
    </row>
    <row r="13" spans="1:6" x14ac:dyDescent="0.25">
      <c r="A13" s="19" t="s">
        <v>49</v>
      </c>
      <c r="B13" s="20">
        <f>B9+B10+B11+B12</f>
        <v>2202765654.795197</v>
      </c>
      <c r="C13" s="20">
        <f>C9+C10+C11+C12</f>
        <v>2392963788.368893</v>
      </c>
      <c r="D13" s="20">
        <f>D9+D10+D11+D12</f>
        <v>2599584608.548478</v>
      </c>
      <c r="E13" s="20">
        <f>E9+E10+E11+E12</f>
        <v>2824046134.6924376</v>
      </c>
      <c r="F13" s="20">
        <f>F9+F10+F11+F12</f>
        <v>3067888825.255202</v>
      </c>
    </row>
    <row r="14" spans="1:6" x14ac:dyDescent="0.25">
      <c r="A14" t="s">
        <v>50</v>
      </c>
      <c r="B14" s="21">
        <f>1/(1+Assumptions!$B$26)^(1-0.5*Assumptions!$B$32)</f>
        <v>0.9562098294543872</v>
      </c>
      <c r="C14" s="21">
        <f>1/(1+Assumptions!$B$26)^(2-0.5*Assumptions!$B$32)</f>
        <v>0.874298254359364</v>
      </c>
      <c r="D14" s="21">
        <f>1/(1+Assumptions!$B$26)^(3-0.5*Assumptions!$B$32)</f>
        <v>0.7994034510312404</v>
      </c>
      <c r="E14" s="21">
        <f>1/(1+Assumptions!$B$26)^(4-0.5*Assumptions!$B$32)</f>
        <v>0.730924343419756</v>
      </c>
      <c r="F14" s="21">
        <f>1/(1+Assumptions!$B$26)^(5-0.5*Assumptions!$B$32)</f>
        <v>0.66831134530932</v>
      </c>
    </row>
    <row r="15" spans="1:6" x14ac:dyDescent="0.25">
      <c r="A15" s="19" t="s">
        <v>51</v>
      </c>
      <c r="B15" s="20">
        <f>B13*B14</f>
        <v>2106306171.0996969</v>
      </c>
      <c r="C15" s="20">
        <f>C13*C14</f>
        <v>2092164062.9160938</v>
      </c>
      <c r="D15" s="20">
        <f>D13*D14</f>
        <v>2078116907.3213496</v>
      </c>
      <c r="E15" s="20">
        <f>E13*E14</f>
        <v>2064164066.7871697</v>
      </c>
      <c r="F15" s="20">
        <f>F13*F14</f>
        <v>2050304908.0657332</v>
      </c>
    </row>
    <row r="17" spans="1:2" x14ac:dyDescent="0.25">
      <c r="A17" s="22" t="s">
        <v>52</v>
      </c>
      <c r="B17" s="23">
        <f>SUM(B15:F15)</f>
        <v>10391056116.190044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3067888825.255202</v>
      </c>
    </row>
    <row r="5" spans="1:2" x14ac:dyDescent="0.25">
      <c r="A5" t="s">
        <v>56</v>
      </c>
      <c r="B5" s="18">
        <f>IF(Assumptions!$B$33=0,B4,B4-Forecast!F11-Forecast!F10-Forecast!F12)</f>
        <v>3571042991.8352413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0.09859180010955745</v>
      </c>
    </row>
    <row r="7" spans="1:2" x14ac:dyDescent="0.25">
      <c r="A7" t="s">
        <v>58</v>
      </c>
      <c r="B7" s="18">
        <f>-MAX(Forecast!F9,0)*B6</f>
        <v>-352075556.83365613</v>
      </c>
    </row>
    <row r="8" spans="1:2" x14ac:dyDescent="0.25">
      <c r="A8" t="s">
        <v>59</v>
      </c>
      <c r="B8" s="18">
        <f>IF(OR(Assumptions!$B$33=0,Assumptions!B12&lt;=0),B5,MAX(B5+B7,0))</f>
        <v>3218967435.001585</v>
      </c>
    </row>
    <row r="9" spans="1:2" x14ac:dyDescent="0.25">
      <c r="A9" t="s">
        <v>60</v>
      </c>
      <c r="B9" s="18">
        <f>B8*(1+Assumptions!B12)/(Assumptions!B26-Assumptions!B12)</f>
        <v>48034940986.68573</v>
      </c>
    </row>
    <row r="10" spans="1:2" x14ac:dyDescent="0.25">
      <c r="A10" t="s">
        <v>61</v>
      </c>
      <c r="B10" s="18">
        <f>B9/(1+Assumptions!B26)^(5-0.5*Assumptions!B32)</f>
        <v>32102296032.665737</v>
      </c>
    </row>
    <row r="11" spans="1:2" x14ac:dyDescent="0.25">
      <c r="A11" t="s">
        <v>62</v>
      </c>
      <c r="B11" s="18">
        <f>Forecast!B17+B10</f>
        <v>42493352148.85578</v>
      </c>
    </row>
    <row r="12" spans="1:2" x14ac:dyDescent="0.25">
      <c r="A12" t="s">
        <v>63</v>
      </c>
      <c r="B12" s="18">
        <f>-Assumptions!B30</f>
        <v>-8603000000</v>
      </c>
    </row>
    <row r="13" spans="1:2" x14ac:dyDescent="0.25">
      <c r="A13" t="s">
        <v>64</v>
      </c>
      <c r="B13" s="18">
        <f>B11+B12</f>
        <v>33890352148.85578</v>
      </c>
    </row>
    <row r="14" spans="1:2" x14ac:dyDescent="0.25">
      <c r="A14" s="19" t="s">
        <v>65</v>
      </c>
      <c r="B14" s="24">
        <f>B13/Assumptions!B31</f>
        <v>200.53462809973834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4776642191.788986</v>
      </c>
    </row>
    <row r="18" spans="1:2" x14ac:dyDescent="0.25">
      <c r="A18" t="s">
        <v>60</v>
      </c>
      <c r="B18" s="18">
        <f>B17*Assumptions!B13</f>
        <v>95532843835.77972</v>
      </c>
    </row>
    <row r="19" spans="1:2" x14ac:dyDescent="0.25">
      <c r="A19" t="s">
        <v>61</v>
      </c>
      <c r="B19" s="18">
        <f>B18/(1+Assumptions!B26)^(5-0.5*Assumptions!B32)</f>
        <v>63845683385.11513</v>
      </c>
    </row>
    <row r="20" spans="1:2" x14ac:dyDescent="0.25">
      <c r="A20" t="s">
        <v>62</v>
      </c>
      <c r="B20" s="18">
        <f>Forecast!B17+B19</f>
        <v>74236739501.30518</v>
      </c>
    </row>
    <row r="21" spans="1:2" x14ac:dyDescent="0.25">
      <c r="A21" t="s">
        <v>63</v>
      </c>
      <c r="B21" s="18">
        <f>-Assumptions!B30</f>
        <v>-8603000000</v>
      </c>
    </row>
    <row r="22" spans="1:2" x14ac:dyDescent="0.25">
      <c r="A22" t="s">
        <v>64</v>
      </c>
      <c r="B22" s="18">
        <f>B20+B21</f>
        <v>65633739501.305176</v>
      </c>
    </row>
    <row r="23" spans="1:2" x14ac:dyDescent="0.25">
      <c r="A23" s="19" t="s">
        <v>65</v>
      </c>
      <c r="B23" s="25">
        <f>B22/Assumptions!B31</f>
        <v>388.36532249293003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458.67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200.53462809973834</v>
      </c>
    </row>
    <row r="29" spans="1:2" x14ac:dyDescent="0.25">
      <c r="A29" s="19" t="s">
        <v>73</v>
      </c>
      <c r="B29" s="12">
        <f>B28/B26-1</f>
        <v>-0.5627910521731565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0.073688</v>
      </c>
      <c r="B5" s="31">
        <v>263.1741714336869</v>
      </c>
      <c r="C5" s="31">
        <v>282.0235381722327</v>
      </c>
      <c r="D5" s="31">
        <v>304.6822204396469</v>
      </c>
      <c r="E5" s="31">
        <v>332.45812276195596</v>
      </c>
      <c r="F5" s="31">
        <v>367.3352789693763</v>
      </c>
    </row>
    <row r="6" spans="1:6" x14ac:dyDescent="0.25">
      <c r="A6" s="30">
        <v>0.083688</v>
      </c>
      <c r="B6" s="31">
        <v>216.6233766394451</v>
      </c>
      <c r="C6" s="31">
        <v>229.1266629291953</v>
      </c>
      <c r="D6" s="31">
        <v>243.71096712573143</v>
      </c>
      <c r="E6" s="31">
        <v>260.9577090733725</v>
      </c>
      <c r="F6" s="31">
        <v>281.68714358370585</v>
      </c>
    </row>
    <row r="7" spans="1:6" x14ac:dyDescent="0.25">
      <c r="A7" s="30">
        <v>0.093688</v>
      </c>
      <c r="B7" s="31">
        <v>181.96156848890487</v>
      </c>
      <c r="C7" s="31">
        <v>190.63749706454337</v>
      </c>
      <c r="D7" s="32">
        <v>200.53597852363703</v>
      </c>
      <c r="E7" s="31">
        <v>211.94495240349025</v>
      </c>
      <c r="F7" s="31">
        <v>225.25048376529747</v>
      </c>
    </row>
    <row r="8" spans="1:6" x14ac:dyDescent="0.25">
      <c r="A8" s="30">
        <v>0.103688</v>
      </c>
      <c r="B8" s="31">
        <v>155.16439445322902</v>
      </c>
      <c r="C8" s="31">
        <v>161.3888573540323</v>
      </c>
      <c r="D8" s="31">
        <v>168.37038362902715</v>
      </c>
      <c r="E8" s="31">
        <v>176.2630818252345</v>
      </c>
      <c r="F8" s="31">
        <v>185.2659325334153</v>
      </c>
    </row>
    <row r="9" spans="1:6" x14ac:dyDescent="0.25">
      <c r="A9" s="30">
        <v>0.113688</v>
      </c>
      <c r="B9" s="31">
        <v>133.8387952734558</v>
      </c>
      <c r="C9" s="31">
        <v>138.41981523581447</v>
      </c>
      <c r="D9" s="31">
        <v>143.48842864939502</v>
      </c>
      <c r="E9" s="31">
        <v>149.13203038285639</v>
      </c>
      <c r="F9" s="31">
        <v>155.46022831539491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11682000000</v>
      </c>
      <c r="C5" s="18">
        <v>10817000000</v>
      </c>
      <c r="D5" s="18">
        <v>9978000000</v>
      </c>
      <c r="E5" s="18">
        <v>9112000000</v>
      </c>
      <c r="F5" s="8" t="s">
        <v>84</v>
      </c>
    </row>
    <row r="6" spans="1:6" x14ac:dyDescent="0.25">
      <c r="A6" t="s">
        <v>44</v>
      </c>
      <c r="B6" s="18">
        <v>2959000000</v>
      </c>
      <c r="C6" s="18">
        <v>2689000000</v>
      </c>
      <c r="D6" s="18">
        <v>2359000000</v>
      </c>
      <c r="E6" s="18">
        <v>1743000000</v>
      </c>
      <c r="F6" s="8" t="s">
        <v>85</v>
      </c>
    </row>
    <row r="7" spans="1:6" x14ac:dyDescent="0.25">
      <c r="A7" t="s">
        <v>86</v>
      </c>
      <c r="B7" s="18">
        <v>425000000</v>
      </c>
      <c r="C7" s="18">
        <v>336000000</v>
      </c>
      <c r="D7" s="18">
        <v>356000000</v>
      </c>
      <c r="E7" s="18">
        <v>440000000</v>
      </c>
      <c r="F7" s="8" t="s">
        <v>87</v>
      </c>
    </row>
    <row r="8" spans="1:6" x14ac:dyDescent="0.25">
      <c r="A8" t="s">
        <v>88</v>
      </c>
      <c r="B8" s="18">
        <v>265000000</v>
      </c>
      <c r="C8" s="18">
        <v>257000000</v>
      </c>
      <c r="D8" s="18">
        <v>253000000</v>
      </c>
      <c r="E8" s="18">
        <v>256000000</v>
      </c>
      <c r="F8" s="8" t="s">
        <v>89</v>
      </c>
    </row>
    <row r="9" spans="1:6" x14ac:dyDescent="0.25">
      <c r="A9" t="s">
        <v>90</v>
      </c>
      <c r="B9" s="18">
        <v>44000000</v>
      </c>
      <c r="C9" s="18">
        <v>371000000</v>
      </c>
      <c r="D9" s="18">
        <v>276000000</v>
      </c>
      <c r="E9" s="18">
        <v>329000000</v>
      </c>
      <c r="F9" s="8" t="s">
        <v>91</v>
      </c>
    </row>
    <row r="10" spans="1:6" x14ac:dyDescent="0.25">
      <c r="A10" t="s">
        <v>92</v>
      </c>
      <c r="B10" s="18">
        <v>9766000000</v>
      </c>
      <c r="C10" s="18">
        <v>6551000000</v>
      </c>
      <c r="D10" s="18">
        <v>6550000000</v>
      </c>
      <c r="E10" s="18">
        <v>6551000000</v>
      </c>
      <c r="F10" s="8" t="s">
        <v>93</v>
      </c>
    </row>
    <row r="11" spans="1:6" x14ac:dyDescent="0.25">
      <c r="A11" t="s">
        <v>94</v>
      </c>
      <c r="B11" s="18">
        <v>1163000000</v>
      </c>
      <c r="C11" s="18">
        <v>2099000000</v>
      </c>
      <c r="D11" s="18">
        <v>1705000000</v>
      </c>
      <c r="E11" s="18">
        <v>1325000000</v>
      </c>
      <c r="F11" s="8" t="s">
        <v>95</v>
      </c>
    </row>
    <row r="12" spans="1:6" x14ac:dyDescent="0.25">
      <c r="A12" t="s">
        <v>32</v>
      </c>
      <c r="B12" s="34">
        <v>169000000</v>
      </c>
      <c r="C12" s="34">
        <v>170800000</v>
      </c>
      <c r="D12" s="34">
        <v>172100000</v>
      </c>
      <c r="E12" s="34">
        <v>171900000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