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<sst xmlns="http://schemas.openxmlformats.org/spreadsheetml/2006/main" count="70" uniqueCount="67">
  <si>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M&amp;T Bank Corporation (MTB)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</si>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</sst>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0.76014</v>
      </c>
    </row>
    <row r="9" spans="1:2" x14ac:dyDescent="0.25">
      <c r="A9" t="s">
        <v>8</v>
      </c>
      <c r="B9" s="8">
        <f>B6+B8*B7</f>
        <v>0.08109392200000001</v>
      </c>
    </row>
    <row r="10" spans="1:2" x14ac:dyDescent="0.25">
      <c r="A10" t="s">
        <v>9</v>
      </c>
      <c r="B10" s="8">
        <f>MEDIAN('Source data'!B9:E9)</f>
        <v>0.10134044230841437</v>
      </c>
    </row>
    <row r="11" spans="1:2" x14ac:dyDescent="0.25">
      <c r="A11" t="s">
        <v>10</v>
      </c>
      <c r="B11" s="8">
        <f>IFERROR(MIN(MAX(MEDIAN('Source data'!B10:E10),0),1),0)</f>
        <v>0.38718043719896256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26343000000</v>
      </c>
    </row>
    <row r="15" spans="1:2" x14ac:dyDescent="0.25">
      <c r="A15" t="s">
        <v>14</v>
      </c>
      <c r="B15" s="10">
        <f>'Source data'!B8</f>
        <v>158791000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0.062103405549506246</v>
      </c>
    </row>
    <row r="18" spans="1:2" x14ac:dyDescent="0.25">
      <c r="A18" t="s">
        <v>17</v>
      </c>
      <c r="B18" s="8">
        <f>MIN(B10,B12)</f>
        <v>0.10134044230841437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0.10134044230841437</v>
      </c>
      <c r="C22" s="8">
        <f>$B$10+($B$18-$B$10)*C21/$B$16</f>
        <v>0.10134044230841437</v>
      </c>
      <c r="D22" s="8">
        <f>$B$10+($B$18-$B$10)*D21/$B$16</f>
        <v>0.10134044230841437</v>
      </c>
      <c r="E22" s="8">
        <f>$B$10+($B$18-$B$10)*E21/$B$16</f>
        <v>0.10134044230841437</v>
      </c>
      <c r="F22" s="8">
        <f>$B$10+($B$18-$B$10)*F21/$B$16</f>
        <v>0.10134044230841437</v>
      </c>
      <c r="G22" s="8">
        <f>$B$10+($B$18-$B$10)*G21/$B$16</f>
        <v>0.10134044230841437</v>
      </c>
      <c r="H22" s="8">
        <f>$B$10+($B$18-$B$10)*H21/$B$16</f>
        <v>0.10134044230841437</v>
      </c>
      <c r="I22" s="8">
        <f>$B$10+($B$18-$B$10)*I21/$B$16</f>
        <v>0.10134044230841437</v>
      </c>
      <c r="J22" s="8">
        <f>$B$10+($B$18-$B$10)*J21/$B$16</f>
        <v>0.10134044230841437</v>
      </c>
      <c r="K22" s="8">
        <f>$B$10+($B$18-$B$10)*K21/$B$16</f>
        <v>0.10134044230841437</v>
      </c>
    </row>
    <row r="23" spans="1:11" x14ac:dyDescent="0.25">
      <c r="A23" t="s">
        <v>31</v>
      </c>
      <c r="B23" s="8">
        <f>$B$17+($B$13-$B$17)*B21/$B$16</f>
        <v>0.05839306499455562</v>
      </c>
      <c r="C23" s="8">
        <f>$B$17+($B$13-$B$17)*C21/$B$16</f>
        <v>0.05468272443960499</v>
      </c>
      <c r="D23" s="8">
        <f>$B$17+($B$13-$B$17)*D21/$B$16</f>
        <v>0.050972383884654374</v>
      </c>
      <c r="E23" s="8">
        <f>$B$17+($B$13-$B$17)*E21/$B$16</f>
        <v>0.04726204332970375</v>
      </c>
      <c r="F23" s="8">
        <f>$B$17+($B$13-$B$17)*F21/$B$16</f>
        <v>0.04355170277475312</v>
      </c>
      <c r="G23" s="8">
        <f>$B$17+($B$13-$B$17)*G21/$B$16</f>
        <v>0.0398413622198025</v>
      </c>
      <c r="H23" s="8">
        <f>$B$17+($B$13-$B$17)*H21/$B$16</f>
        <v>0.03613102166485188</v>
      </c>
      <c r="I23" s="8">
        <f>$B$17+($B$13-$B$17)*I21/$B$16</f>
        <v>0.03242068110990125</v>
      </c>
      <c r="J23" s="8">
        <f>$B$17+($B$13-$B$17)*J21/$B$16</f>
        <v>0.028710340554950628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26343000000</v>
      </c>
      <c r="C24" s="9">
        <f>B24*(1+B23)</f>
        <v>27881248511.15158</v>
      </c>
      <c r="D24" s="9">
        <f>C24*(1+C23)</f>
        <v>29405871140.519028</v>
      </c>
      <c r="E24" s="9">
        <f>D24*(1+D23)</f>
        <v>30904758492.75624</v>
      </c>
      <c r="F24" s="9">
        <f>E24*(1+E23)</f>
        <v>32365380527.734917</v>
      </c>
      <c r="G24" s="9">
        <f>F24*(1+F23)</f>
        <v>33774947960.670612</v>
      </c>
      <c r="H24" s="9">
        <f>G24*(1+G23)</f>
        <v>35120587896.32667</v>
      </c>
      <c r="I24" s="9">
        <f>H24*(1+H23)</f>
        <v>36389530618.49118</v>
      </c>
      <c r="J24" s="9">
        <f>I24*(1+I23)</f>
        <v>37569303986.41227</v>
      </c>
      <c r="K24" s="9">
        <f>J24*(1+J23)</f>
        <v>38647931498.274635</v>
      </c>
    </row>
    <row r="25" spans="1:11" x14ac:dyDescent="0.25">
      <c r="A25" t="s">
        <v>33</v>
      </c>
      <c r="B25" s="9">
        <f>(B22-$B$9)*B24</f>
        <v>533354084.4845593</v>
      </c>
      <c r="C25" s="9">
        <f>(C22-$B$9)*C24</f>
        <v>564498264.204978</v>
      </c>
      <c r="D25" s="9">
        <f>(D22-$B$9)*D24</f>
        <v>595366567.233134</v>
      </c>
      <c r="E25" s="9">
        <f>(E22-$B$9)*E24</f>
        <v>625713820.4502302</v>
      </c>
      <c r="F25" s="9">
        <f>(F22-$B$9)*F24</f>
        <v>655286334.1443435</v>
      </c>
      <c r="G25" s="9">
        <f>(G22-$B$9)*G24</f>
        <v>683825169.8013555</v>
      </c>
      <c r="H25" s="9">
        <f>(H22-$B$9)*H24</f>
        <v>711069696.0864292</v>
      </c>
      <c r="I25" s="9">
        <f>(I22-$B$9)*I24</f>
        <v>736761370.6809477</v>
      </c>
      <c r="J25" s="9">
        <f>(J22-$B$9)*J24</f>
        <v>760647676.1338884</v>
      </c>
      <c r="K25" s="9">
        <f>(K22-$B$9)*K24</f>
        <v>782486129.9580241</v>
      </c>
    </row>
    <row r="26" spans="1:11" x14ac:dyDescent="0.25">
      <c r="A26" t="s">
        <v>34</v>
      </c>
      <c r="B26" s="14">
        <f>1/(1+$B$9)^B21</f>
        <v>0.9249890131192505</v>
      </c>
      <c r="C26" s="14">
        <f>1/(1+$B$9)^C21</f>
        <v>0.8556046743913251</v>
      </c>
      <c r="D26" s="14">
        <f>1/(1+$B$9)^D21</f>
        <v>0.7914249233854495</v>
      </c>
      <c r="E26" s="14">
        <f>1/(1+$B$9)^E21</f>
        <v>0.7320593588402854</v>
      </c>
      <c r="F26" s="14">
        <f>1/(1+$B$9)^F21</f>
        <v>0.6771468638783867</v>
      </c>
      <c r="G26" s="14">
        <f>1/(1+$B$9)^G21</f>
        <v>0.6263534093556645</v>
      </c>
      <c r="H26" s="14">
        <f>1/(1+$B$9)^H21</f>
        <v>0.5793700219837741</v>
      </c>
      <c r="I26" s="14">
        <f>1/(1+$B$9)^I21</f>
        <v>0.5359109048656496</v>
      </c>
      <c r="J26" s="14">
        <f>1/(1+$B$9)^J21</f>
        <v>0.49571169901152184</v>
      </c>
      <c r="K26" s="14">
        <f>1/(1+$B$9)^K21</f>
        <v>0.4585278752603345</v>
      </c>
    </row>
    <row r="27" spans="1:11" x14ac:dyDescent="0.25">
      <c r="A27" s="15" t="s">
        <v>35</v>
      </c>
      <c r="B27" s="16">
        <f>B25*B26</f>
        <v>493346668.2504939</v>
      </c>
      <c r="C27" s="16">
        <f>C25*C26</f>
        <v>482987353.5395684</v>
      </c>
      <c r="D27" s="16">
        <f>D25*D26</f>
        <v>471187939.85874116</v>
      </c>
      <c r="E27" s="16">
        <f>E25*E26</f>
        <v>458059658.216301</v>
      </c>
      <c r="F27" s="16">
        <f>F25*F26</f>
        <v>443725086.10820687</v>
      </c>
      <c r="G27" s="16">
        <f>G25*G26</f>
        <v>428316226.5082952</v>
      </c>
      <c r="H27" s="16">
        <f>H25*H26</f>
        <v>411972465.45359004</v>
      </c>
      <c r="I27" s="16">
        <f>I25*I26</f>
        <v>394838452.831683</v>
      </c>
      <c r="J27" s="16">
        <f>J25*J26</f>
        <v>377061951.8854956</v>
      </c>
      <c r="K27" s="16">
        <f>K25*K26</f>
        <v>358791702.5903348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26343000000</v>
      </c>
    </row>
    <row r="31" spans="1:2" x14ac:dyDescent="0.25">
      <c r="A31" t="s">
        <v>38</v>
      </c>
      <c r="B31" s="9">
        <f>SUM(B27:K27)</f>
        <v>4320287505.24271</v>
      </c>
    </row>
    <row r="32" spans="1:2" x14ac:dyDescent="0.25">
      <c r="A32" t="s">
        <v>39</v>
      </c>
      <c r="B32" s="9">
        <f>K24*(1+K23)</f>
        <v>39614129785.7315</v>
      </c>
    </row>
    <row r="33" spans="1:2" x14ac:dyDescent="0.25">
      <c r="A33" t="s">
        <v>40</v>
      </c>
      <c r="B33" s="9">
        <f>(B18-B9)*B32</f>
        <v>802048283.2069747</v>
      </c>
    </row>
    <row r="34" spans="1:2" x14ac:dyDescent="0.25">
      <c r="A34" t="s">
        <v>41</v>
      </c>
      <c r="B34" s="9">
        <f>B33/(B9-B13)</f>
        <v>14298309952.493153</v>
      </c>
    </row>
    <row r="35" spans="1:2" x14ac:dyDescent="0.25">
      <c r="A35" t="s">
        <v>42</v>
      </c>
      <c r="B35" s="9">
        <f>B34*K26</f>
        <v>6556173682.3303795</v>
      </c>
    </row>
    <row r="36" spans="1:2" x14ac:dyDescent="0.25">
      <c r="A36" s="15" t="s">
        <v>43</v>
      </c>
      <c r="B36" s="16">
        <f>B30+B31+B35</f>
        <v>37219461187.57309</v>
      </c>
    </row>
    <row r="37" spans="1:2" x14ac:dyDescent="0.25">
      <c r="A37" s="15" t="s">
        <v>44</v>
      </c>
      <c r="B37" s="17">
        <f>B36/B15</f>
        <v>234.39276273575385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224.61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234.39276273575385</v>
      </c>
    </row>
    <row r="43" spans="1:2" x14ac:dyDescent="0.25">
      <c r="A43" s="15" t="s">
        <v>48</v>
      </c>
      <c r="B43" s="21">
        <f>B42/B40-1</f>
        <v>0.043554439854653904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2699000000</v>
      </c>
      <c r="C5" s="9">
        <v>2449000000</v>
      </c>
      <c r="D5" s="9">
        <v>2636000000</v>
      </c>
      <c r="E5" s="9">
        <v>1891000000</v>
      </c>
      <c r="F5" s="6" t="s">
        <v>57</v>
      </c>
    </row>
    <row r="6" spans="1:6" x14ac:dyDescent="0.25">
      <c r="A6" t="s">
        <v>37</v>
      </c>
      <c r="B6" s="9">
        <v>26343000000</v>
      </c>
      <c r="C6" s="9">
        <v>26633000000</v>
      </c>
      <c r="D6" s="9">
        <v>24946000000</v>
      </c>
      <c r="E6" s="9">
        <v>23307000000</v>
      </c>
      <c r="F6" s="6" t="s">
        <v>58</v>
      </c>
    </row>
    <row r="7" spans="1:6" x14ac:dyDescent="0.25">
      <c r="A7" t="s">
        <v>59</v>
      </c>
      <c r="B7" s="9">
        <v>1045000000</v>
      </c>
      <c r="C7" s="9">
        <v>1033000000</v>
      </c>
      <c r="D7" s="9">
        <v>968000000</v>
      </c>
      <c r="E7" s="9">
        <v>881000000</v>
      </c>
      <c r="F7" s="6" t="s">
        <v>60</v>
      </c>
    </row>
    <row r="8" spans="1:6" x14ac:dyDescent="0.25">
      <c r="A8" t="s">
        <v>14</v>
      </c>
      <c r="B8" s="10">
        <v>158791000</v>
      </c>
      <c r="C8" s="10">
        <v>167319000</v>
      </c>
      <c r="D8" s="10">
        <v>167002000</v>
      </c>
      <c r="E8" s="10">
        <v>164030000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0.10134044230841437</v>
      </c>
      <c r="C9" s="8">
        <f>IF(AND(ISNUMBER(C5),N(D6)&gt;0),C5/D6,"")</f>
        <v>0.0981720516315241</v>
      </c>
      <c r="D9" s="8">
        <f>IF(AND(ISNUMBER(D5),N(E6)&gt;0),D5/E6,"")</f>
        <v>0.11309906894924272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0.38718043719896256</v>
      </c>
      <c r="C10" s="8">
        <f>IF(AND(ISNUMBER(C9),N(C5)&gt;0,ISNUMBER(C7)),C7/C5,"")</f>
        <v>0.4218048182931809</v>
      </c>
      <c r="D10" s="8">
        <f>IF(AND(ISNUMBER(D9),N(D5)&gt;0,ISNUMBER(D7)),D7/D5,"")</f>
        <v>0.36722306525037934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