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<sst xmlns="http://schemas.openxmlformats.org/spreadsheetml/2006/main" count="112" uniqueCount="100">
  <si>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M&amp;T Bank Corporation (MTB)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</si>
  <si>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</si>
  <si>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</si>
  <si>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</si>
  <si>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</si>
  <si>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</si>
  <si>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</si>
  <si>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</si>
  <si>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</si>
  <si>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</si>
  <si>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</si>
  <si>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</si>
  <si>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</si>
  <si>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</si>
  <si>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</si>
  <si>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</si>
  <si>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</si>
  <si>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</si>
  <si>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</si>
  <si>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</si>
  <si>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</si>
  <si>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</si>
  <si>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26.6%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</si>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</sst>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0.06326236932550966</v>
      </c>
    </row>
    <row r="7" spans="1:2" x14ac:dyDescent="0.25">
      <c r="A7" t="s">
        <v>5</v>
      </c>
      <c r="B7" s="6">
        <v>0.3632330618514966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0.05347624789285346</v>
      </c>
    </row>
    <row r="10" spans="1:2" x14ac:dyDescent="0.25">
      <c r="A10" t="s">
        <v>8</v>
      </c>
      <c r="B10" s="6">
        <v>0.023048050141288856</v>
      </c>
    </row>
    <row r="11" spans="1:2" x14ac:dyDescent="0.25">
      <c r="A11" t="s">
        <v>9</v>
      </c>
      <c r="B11" s="6">
        <v>-0.2628158844765343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6.460443646778043</v>
      </c>
    </row>
    <row r="14" spans="1:3" x14ac:dyDescent="0.25">
      <c r="A14" t="s">
        <v>12</v>
      </c>
      <c r="B14" s="6">
        <v>0.07934150053413337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0.7072099999999999</v>
      </c>
      <c r="C19" s="8" t="s">
        <v>19</v>
      </c>
    </row>
    <row r="20" spans="1:2" x14ac:dyDescent="0.25">
      <c r="A20" t="s">
        <v>20</v>
      </c>
      <c r="B20" s="10">
        <f>B17+B19*B18</f>
        <v>0.08887655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32827258880</v>
      </c>
    </row>
    <row r="23" spans="1:2" x14ac:dyDescent="0.25">
      <c r="A23" t="s">
        <v>24</v>
      </c>
      <c r="B23" s="11">
        <v>13011000000</v>
      </c>
    </row>
    <row r="24" spans="1:2" x14ac:dyDescent="0.25">
      <c r="A24" t="s">
        <v>25</v>
      </c>
      <c r="B24" s="10">
        <f>B22/(B22+B23)</f>
        <v>0.716154140276979</v>
      </c>
    </row>
    <row r="25" spans="1:2" x14ac:dyDescent="0.25">
      <c r="A25" t="s">
        <v>26</v>
      </c>
      <c r="B25" s="10">
        <f>1-B24</f>
        <v>0.283845859723021</v>
      </c>
    </row>
    <row r="26" spans="1:2" x14ac:dyDescent="0.25">
      <c r="A26" t="s">
        <v>27</v>
      </c>
      <c r="B26" s="12">
        <f>B24*B20+B25*B21*(1-B8)</f>
        <v>0.07934150053413337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9632000000</v>
      </c>
      <c r="C29" s="8" t="s">
        <v>30</v>
      </c>
    </row>
    <row r="30" spans="1:2" x14ac:dyDescent="0.25">
      <c r="A30" t="s">
        <v>31</v>
      </c>
      <c r="B30" s="11">
        <v>-5758000000</v>
      </c>
    </row>
    <row r="31" spans="1:2" x14ac:dyDescent="0.25">
      <c r="A31" t="s">
        <v>32</v>
      </c>
      <c r="B31" s="13">
        <v>158791000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0.06326236932550966</v>
      </c>
      <c r="C5" s="10">
        <f>Assumptions!B6</f>
        <v>0.06326236932550966</v>
      </c>
      <c r="D5" s="10">
        <f>Assumptions!B6</f>
        <v>0.06326236932550966</v>
      </c>
      <c r="E5" s="10">
        <f>Assumptions!B6</f>
        <v>0.06326236932550966</v>
      </c>
      <c r="F5" s="10">
        <f>Assumptions!B6</f>
        <v>0.06326236932550966</v>
      </c>
    </row>
    <row r="6" spans="1:6" x14ac:dyDescent="0.25">
      <c r="A6" t="s">
        <v>43</v>
      </c>
      <c r="B6" s="18">
        <f>Assumptions!B29*(1+B5)</f>
        <v>10241343141.34331</v>
      </c>
      <c r="C6" s="18">
        <f>B6*(1+C5)</f>
        <v>10889234773.540245</v>
      </c>
      <c r="D6" s="18">
        <f>C6*(1+D5)</f>
        <v>11578113565.456131</v>
      </c>
      <c r="E6" s="18">
        <f>D6*(1+E5)</f>
        <v>12310572461.92671</v>
      </c>
      <c r="F6" s="18">
        <f>E6*(1+F5)</f>
        <v>13089368443.621567</v>
      </c>
    </row>
    <row r="7" spans="1:6" x14ac:dyDescent="0.25">
      <c r="A7" t="s">
        <v>5</v>
      </c>
      <c r="B7" s="10">
        <f>Assumptions!B7</f>
        <v>0.3632330618514966</v>
      </c>
      <c r="C7" s="10">
        <f>Assumptions!B7</f>
        <v>0.3632330618514966</v>
      </c>
      <c r="D7" s="10">
        <f>Assumptions!B7</f>
        <v>0.3632330618514966</v>
      </c>
      <c r="E7" s="10">
        <f>Assumptions!B7</f>
        <v>0.3632330618514966</v>
      </c>
      <c r="F7" s="10">
        <f>Assumptions!B7</f>
        <v>0.3632330618514966</v>
      </c>
    </row>
    <row r="8" spans="1:6" x14ac:dyDescent="0.25">
      <c r="A8" t="s">
        <v>44</v>
      </c>
      <c r="B8" s="18">
        <f>B6*B7</f>
        <v>3719994426.701955</v>
      </c>
      <c r="C8" s="18">
        <f>C6*C7</f>
        <v>3955330088.0128117</v>
      </c>
      <c r="D8" s="18">
        <f>D6*D7</f>
        <v>4205553640.844979</v>
      </c>
      <c r="E8" s="18">
        <f>E6*E7</f>
        <v>4471606928.4903555</v>
      </c>
      <c r="F8" s="18">
        <f>F6*F7</f>
        <v>4754491377.479021</v>
      </c>
    </row>
    <row r="9" spans="1:6" x14ac:dyDescent="0.25">
      <c r="A9" t="s">
        <v>45</v>
      </c>
      <c r="B9" s="18">
        <f>B8*(1-Assumptions!B8)</f>
        <v>2938795597.0945444</v>
      </c>
      <c r="C9" s="18">
        <f>C8*(1-Assumptions!B8)</f>
        <v>3124710769.5301213</v>
      </c>
      <c r="D9" s="18">
        <f>D8*(1-Assumptions!B8)</f>
        <v>3322387376.2675333</v>
      </c>
      <c r="E9" s="18">
        <f>E8*(1-Assumptions!B8)</f>
        <v>3532569473.507381</v>
      </c>
      <c r="F9" s="18">
        <f>F8*(1-Assumptions!B8)</f>
        <v>3756048188.208427</v>
      </c>
    </row>
    <row r="10" spans="1:6" x14ac:dyDescent="0.25">
      <c r="A10" t="s">
        <v>46</v>
      </c>
      <c r="B10" s="18">
        <f>B6*Assumptions!B9</f>
        <v>547668604.5822494</v>
      </c>
      <c r="C10" s="18">
        <f>C6*Assumptions!B9</f>
        <v>582315418.1133182</v>
      </c>
      <c r="D10" s="18">
        <f>D6*Assumptions!B9</f>
        <v>619154071.1579415</v>
      </c>
      <c r="E10" s="18">
        <f>E6*Assumptions!B9</f>
        <v>658323224.676928</v>
      </c>
      <c r="F10" s="18">
        <f>F6*Assumptions!B9</f>
        <v>699970311.6520004</v>
      </c>
    </row>
    <row r="11" spans="1:6" x14ac:dyDescent="0.25">
      <c r="A11" t="s">
        <v>47</v>
      </c>
      <c r="B11" s="18">
        <f>-B6*Assumptions!B10</f>
        <v>-236042990.23582533</v>
      </c>
      <c r="C11" s="18">
        <f>-C6*Assumptions!B10</f>
        <v>-250975629.06082177</v>
      </c>
      <c r="D11" s="18">
        <f>-D6*Assumptions!B10</f>
        <v>-266852941.9981696</v>
      </c>
      <c r="E11" s="18">
        <f>-E6*Assumptions!B10</f>
        <v>-283734691.37045664</v>
      </c>
      <c r="F11" s="18">
        <f>-F6*Assumptions!B10</f>
        <v>-301684420.20639396</v>
      </c>
    </row>
    <row r="12" spans="1:6" x14ac:dyDescent="0.25">
      <c r="A12" t="s">
        <v>48</v>
      </c>
      <c r="B12" s="18">
        <f>-(B6-Assumptions!B29)*Assumptions!B11</f>
        <v>160145056.64185172</v>
      </c>
      <c r="C12" s="18">
        <f>-(C6-B6)*Assumptions!B11</f>
        <v>170276212.3607831</v>
      </c>
      <c r="D12" s="18">
        <f>-(D6-C6)*Assumptions!B11</f>
        <v>181048288.99449998</v>
      </c>
      <c r="E12" s="18">
        <f>-(E6-D6)*Assumptions!B11</f>
        <v>192501832.71862152</v>
      </c>
      <c r="F12" s="18">
        <f>-(F6-E6)*Assumptions!B11</f>
        <v>204679954.7559046</v>
      </c>
    </row>
    <row r="13" spans="1:6" x14ac:dyDescent="0.25">
      <c r="A13" s="19" t="s">
        <v>49</v>
      </c>
      <c r="B13" s="20">
        <f>B9+B10+B11+B12</f>
        <v>3410566268.0828204</v>
      </c>
      <c r="C13" s="20">
        <f>C9+C10+C11+C12</f>
        <v>3626326770.943401</v>
      </c>
      <c r="D13" s="20">
        <f>D9+D10+D11+D12</f>
        <v>3855736794.4218054</v>
      </c>
      <c r="E13" s="20">
        <f>E9+E10+E11+E12</f>
        <v>4099659839.532474</v>
      </c>
      <c r="F13" s="20">
        <f>F9+F10+F11+F12</f>
        <v>4359014034.409938</v>
      </c>
    </row>
    <row r="14" spans="1:6" x14ac:dyDescent="0.25">
      <c r="A14" t="s">
        <v>50</v>
      </c>
      <c r="B14" s="21">
        <f>1/(1+Assumptions!$B$26)^(1-0.5*Assumptions!$B$32)</f>
        <v>0.9625439353681127</v>
      </c>
      <c r="C14" s="21">
        <f>1/(1+Assumptions!$B$26)^(2-0.5*Assumptions!$B$32)</f>
        <v>0.8917881271977209</v>
      </c>
      <c r="D14" s="21">
        <f>1/(1+Assumptions!$B$26)^(3-0.5*Assumptions!$B$32)</f>
        <v>0.8262335199345175</v>
      </c>
      <c r="E14" s="21">
        <f>1/(1+Assumptions!$B$26)^(4-0.5*Assumptions!$B$32)</f>
        <v>0.7654977776038813</v>
      </c>
      <c r="F14" s="21">
        <f>1/(1+Assumptions!$B$26)^(5-0.5*Assumptions!$B$32)</f>
        <v>0.7092266694322971</v>
      </c>
    </row>
    <row r="15" spans="1:6" x14ac:dyDescent="0.25">
      <c r="A15" s="19" t="s">
        <v>51</v>
      </c>
      <c r="B15" s="20">
        <f>B13*B14</f>
        <v>3282819877.5141754</v>
      </c>
      <c r="C15" s="20">
        <f>C13*C14</f>
        <v>3233915159.666574</v>
      </c>
      <c r="D15" s="20">
        <f>D13*D14</f>
        <v>3185738983.5961614</v>
      </c>
      <c r="E15" s="20">
        <f>E13*E14</f>
        <v>3138280496.093993</v>
      </c>
      <c r="F15" s="20">
        <f>F13*F14</f>
        <v>3091529005.6332006</v>
      </c>
    </row>
    <row r="17" spans="1:2" x14ac:dyDescent="0.25">
      <c r="A17" s="22" t="s">
        <v>52</v>
      </c>
      <c r="B17" s="23">
        <f>SUM(B15:F15)</f>
        <v>15932283522.504105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4359014034.409938</v>
      </c>
    </row>
    <row r="5" spans="1:2" x14ac:dyDescent="0.25">
      <c r="A5" t="s">
        <v>56</v>
      </c>
      <c r="B5" s="18">
        <f>IF(Assumptions!$B$33=0,B4,B4-Forecast!F11-Forecast!F10-Forecast!F12)</f>
        <v>3959236711.189595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0.3150936121915768</v>
      </c>
    </row>
    <row r="7" spans="1:2" x14ac:dyDescent="0.25">
      <c r="A7" t="s">
        <v>58</v>
      </c>
      <c r="B7" s="18">
        <f>-MAX(Forecast!F9,0)*B6</f>
        <v>-1247530196.850228</v>
      </c>
    </row>
    <row r="8" spans="1:2" x14ac:dyDescent="0.25">
      <c r="A8" t="s">
        <v>59</v>
      </c>
      <c r="B8" s="18">
        <f>IF(OR(Assumptions!$B$33=0,Assumptions!B12&lt;=0),B5,MAX(B5+B7,0))</f>
        <v>2711706514.339367</v>
      </c>
    </row>
    <row r="9" spans="1:2" x14ac:dyDescent="0.25">
      <c r="A9" t="s">
        <v>60</v>
      </c>
      <c r="B9" s="18">
        <f>B8*(1+Assumptions!B12)/(Assumptions!B26-Assumptions!B12)</f>
        <v>51148738070.85934</v>
      </c>
    </row>
    <row r="10" spans="1:2" x14ac:dyDescent="0.25">
      <c r="A10" t="s">
        <v>61</v>
      </c>
      <c r="B10" s="18">
        <f>B9/(1+Assumptions!B26)^(5-0.5*Assumptions!B32)</f>
        <v>36276049147.6605</v>
      </c>
    </row>
    <row r="11" spans="1:2" x14ac:dyDescent="0.25">
      <c r="A11" t="s">
        <v>62</v>
      </c>
      <c r="B11" s="18">
        <f>Forecast!B17+B10</f>
        <v>52208332670.164604</v>
      </c>
    </row>
    <row r="12" spans="1:2" x14ac:dyDescent="0.25">
      <c r="A12" t="s">
        <v>63</v>
      </c>
      <c r="B12" s="18">
        <f>-Assumptions!B30</f>
        <v>5758000000</v>
      </c>
    </row>
    <row r="13" spans="1:2" x14ac:dyDescent="0.25">
      <c r="A13" t="s">
        <v>64</v>
      </c>
      <c r="B13" s="18">
        <f>B11+B12</f>
        <v>57966332670.164604</v>
      </c>
    </row>
    <row r="14" spans="1:2" x14ac:dyDescent="0.25">
      <c r="A14" s="19" t="s">
        <v>65</v>
      </c>
      <c r="B14" s="24">
        <f>B13/Assumptions!B31</f>
        <v>365.0479729340114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5454461689.1310215</v>
      </c>
    </row>
    <row r="18" spans="1:2" x14ac:dyDescent="0.25">
      <c r="A18" t="s">
        <v>60</v>
      </c>
      <c r="B18" s="18">
        <f>B17*Assumptions!B13</f>
        <v>35238242366.14074</v>
      </c>
    </row>
    <row r="19" spans="1:2" x14ac:dyDescent="0.25">
      <c r="A19" t="s">
        <v>61</v>
      </c>
      <c r="B19" s="18">
        <f>B18/(1+Assumptions!B26)^(5-0.5*Assumptions!B32)</f>
        <v>24991901269.986065</v>
      </c>
    </row>
    <row r="20" spans="1:2" x14ac:dyDescent="0.25">
      <c r="A20" t="s">
        <v>62</v>
      </c>
      <c r="B20" s="18">
        <f>Forecast!B17+B19</f>
        <v>40924184792.49017</v>
      </c>
    </row>
    <row r="21" spans="1:2" x14ac:dyDescent="0.25">
      <c r="A21" t="s">
        <v>63</v>
      </c>
      <c r="B21" s="18">
        <f>-Assumptions!B30</f>
        <v>5758000000</v>
      </c>
    </row>
    <row r="22" spans="1:2" x14ac:dyDescent="0.25">
      <c r="A22" t="s">
        <v>64</v>
      </c>
      <c r="B22" s="18">
        <f>B20+B21</f>
        <v>46682184792.49017</v>
      </c>
    </row>
    <row r="23" spans="1:2" x14ac:dyDescent="0.25">
      <c r="A23" s="19" t="s">
        <v>65</v>
      </c>
      <c r="B23" s="25">
        <f>B22/Assumptions!B31</f>
        <v>293.9850797116346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227.31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365.0479729340114</v>
      </c>
    </row>
    <row r="29" spans="1:2" x14ac:dyDescent="0.25">
      <c r="A29" s="19" t="s">
        <v>73</v>
      </c>
      <c r="B29" s="12">
        <f>B28/B26-1</f>
        <v>0.6059477054859503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0.059342</v>
      </c>
      <c r="B5" s="31">
        <v>488.56503096614813</v>
      </c>
      <c r="C5" s="31">
        <v>499.4533090981998</v>
      </c>
      <c r="D5" s="31">
        <v>513.117195250579</v>
      </c>
      <c r="E5" s="31">
        <v>530.9756152056086</v>
      </c>
      <c r="F5" s="31">
        <v>555.6133198892499</v>
      </c>
    </row>
    <row r="6" spans="1:6" x14ac:dyDescent="0.25">
      <c r="A6" s="30">
        <v>0.069342</v>
      </c>
      <c r="B6" s="31">
        <v>410.50908749182713</v>
      </c>
      <c r="C6" s="31">
        <v>412.6251414173749</v>
      </c>
      <c r="D6" s="31">
        <v>414.92520084314924</v>
      </c>
      <c r="E6" s="31">
        <v>417.47942190008933</v>
      </c>
      <c r="F6" s="31">
        <v>420.3988180547224</v>
      </c>
    </row>
    <row r="7" spans="1:6" x14ac:dyDescent="0.25">
      <c r="A7" s="30">
        <v>0.079342</v>
      </c>
      <c r="B7" s="31">
        <v>362.817167527396</v>
      </c>
      <c r="C7" s="31">
        <v>363.9315559679287</v>
      </c>
      <c r="D7" s="32">
        <v>365.0459444084614</v>
      </c>
      <c r="E7" s="31">
        <v>366.1603328489941</v>
      </c>
      <c r="F7" s="31">
        <v>367.2747212895268</v>
      </c>
    </row>
    <row r="8" spans="1:6" x14ac:dyDescent="0.25">
      <c r="A8" s="30">
        <v>0.089342</v>
      </c>
      <c r="B8" s="31">
        <v>327.07831534593277</v>
      </c>
      <c r="C8" s="31">
        <v>328.02774064588897</v>
      </c>
      <c r="D8" s="31">
        <v>328.9771659458451</v>
      </c>
      <c r="E8" s="31">
        <v>329.9265912458013</v>
      </c>
      <c r="F8" s="31">
        <v>330.87601654575747</v>
      </c>
    </row>
    <row r="9" spans="1:6" x14ac:dyDescent="0.25">
      <c r="A9" s="30">
        <v>0.099342</v>
      </c>
      <c r="B9" s="31">
        <v>298.52944764753244</v>
      </c>
      <c r="C9" s="31">
        <v>299.34890243629843</v>
      </c>
      <c r="D9" s="31">
        <v>300.1683572250645</v>
      </c>
      <c r="E9" s="31">
        <v>300.9878120138305</v>
      </c>
      <c r="F9" s="31">
        <v>301.8072668025965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9632000000</v>
      </c>
      <c r="C5" s="18">
        <v>9231000000</v>
      </c>
      <c r="D5" s="18">
        <v>9398000000</v>
      </c>
      <c r="E5" s="18">
        <v>8013000000</v>
      </c>
      <c r="F5" s="8" t="s">
        <v>84</v>
      </c>
    </row>
    <row r="6" spans="1:6" x14ac:dyDescent="0.25">
      <c r="A6" t="s">
        <v>44</v>
      </c>
      <c r="B6" s="18">
        <v>3692000000</v>
      </c>
      <c r="C6" s="18">
        <v>3310000000</v>
      </c>
      <c r="D6" s="18">
        <v>3619000000</v>
      </c>
      <c r="E6" s="18">
        <v>2612000000</v>
      </c>
      <c r="F6" s="8" t="s">
        <v>85</v>
      </c>
    </row>
    <row r="7" spans="1:6" x14ac:dyDescent="0.25">
      <c r="A7" t="s">
        <v>86</v>
      </c>
      <c r="B7" s="18">
        <v>498000000</v>
      </c>
      <c r="C7" s="18">
        <v>508000000</v>
      </c>
      <c r="D7" s="18">
        <v>497000000</v>
      </c>
      <c r="E7" s="18">
        <v>435000000</v>
      </c>
      <c r="F7" s="8" t="s">
        <v>87</v>
      </c>
    </row>
    <row r="8" spans="1:6" x14ac:dyDescent="0.25">
      <c r="A8" t="s">
        <v>88</v>
      </c>
      <c r="B8" s="18">
        <v>143000000</v>
      </c>
      <c r="C8" s="18">
        <v>216000000</v>
      </c>
      <c r="D8" s="18">
        <v>256000000</v>
      </c>
      <c r="E8" s="18">
        <v>214000000</v>
      </c>
      <c r="F8" s="8" t="s">
        <v>89</v>
      </c>
    </row>
    <row r="9" spans="1:6" x14ac:dyDescent="0.25">
      <c r="A9" t="s">
        <v>90</v>
      </c>
      <c r="B9" s="18">
        <v>764000000</v>
      </c>
      <c r="C9" s="18">
        <v>79000000</v>
      </c>
      <c r="D9" s="18">
        <v>-364000000</v>
      </c>
      <c r="E9" s="18">
        <v>-1805000000</v>
      </c>
      <c r="F9" s="8" t="s">
        <v>91</v>
      </c>
    </row>
    <row r="10" spans="1:6" x14ac:dyDescent="0.25">
      <c r="A10" t="s">
        <v>92</v>
      </c>
      <c r="B10" s="18">
        <v>13011000000</v>
      </c>
      <c r="C10" s="18">
        <v>13605000000</v>
      </c>
      <c r="D10" s="18">
        <v>13201000000</v>
      </c>
      <c r="E10" s="18">
        <v>7165000000</v>
      </c>
      <c r="F10" s="8" t="s">
        <v>93</v>
      </c>
    </row>
    <row r="11" spans="1:6" x14ac:dyDescent="0.25">
      <c r="A11" t="s">
        <v>94</v>
      </c>
      <c r="B11" s="18">
        <v>18769000000</v>
      </c>
      <c r="C11" s="18">
        <v>20782000000</v>
      </c>
      <c r="D11" s="18">
        <v>29800000000</v>
      </c>
      <c r="E11" s="18">
        <v>26476000000</v>
      </c>
      <c r="F11" s="8" t="s">
        <v>95</v>
      </c>
    </row>
    <row r="12" spans="1:6" x14ac:dyDescent="0.25">
      <c r="A12" t="s">
        <v>32</v>
      </c>
      <c r="B12" s="34">
        <v>158791000</v>
      </c>
      <c r="C12" s="34">
        <v>167319000</v>
      </c>
      <c r="D12" s="34">
        <v>167002000</v>
      </c>
      <c r="E12" s="34">
        <v>164030000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