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<sst xmlns="http://schemas.openxmlformats.org/spreadsheetml/2006/main" count="120" uniqueCount="107">
  <si>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Mettler-Toledo International Inc. (MTD)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</si>
  <si>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</si>
  <si>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</si>
  <si>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</si>
  <si>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</si>
  <si>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</si>
  <si>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</si>
  <si>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</si>
  <si>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</si>
  <si>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</si>
  <si>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</si>
  <si>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</si>
  <si>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</si>
  <si>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</si>
  <si>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</si>
  <si>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</si>
  <si>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</si>
  <si>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</si>
  <si>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</si>
  <si>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</si>
  <si>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</si>
  <si>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</si>
  <si>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</si>
  <si>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</si>
  <si>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16.3x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</si>
  <si>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</si>
  <si>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</si>
  <si>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</si>
  <si>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</si>
  <si>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</si>
  <si>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</si>
  <si>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</si>
  <si>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</si>
  <si>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</si>
  <si>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</si>
  <si>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</si>
  <si>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</si>
  <si>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</si>
  <si>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</si>
  <si>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</si>
  <si>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</si>
  <si>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</si>
  <si>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</si>
  <si>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</si>
  <si>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</si>
  <si>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</si>
  <si>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</si>
  <si>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</si>
  <si>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</si>
  <si>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</si>
  <si>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</si>
  <si>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</si>
  <si>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</si>
  <si>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</si>
  <si>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</si>
  <si>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</si>
  <si>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</si>
  <si>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</si>
  <si>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</si>
  <si>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</si>
  <si>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</si>
  <si>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</si>
  <si>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</si>
  <si>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</si>
  <si>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</si>
  <si>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</si>
  <si>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</si>
  <si>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</si>
  <si>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</si>
  <si>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</si>
  <si>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</si>
  <si>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</si>
  <si>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</si>
  <si>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</si>
  <si>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</si>
  <si>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</si>
  <si>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</si>
  <si>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</si>
  <si>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</si>
  <si>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</si>
  <si>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</si>
  <si>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</si>
  <si>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</si>
  <si>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</si>
  <si>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</si>
  <si>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</si>
  <si>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</si>
  <si>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</si>
  <si>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</si>
  <si>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</si>
  <si>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</si>
  <si>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</si>
  <si>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</si>
  <si>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</si>
  <si>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</si>
  <si>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</si>
  <si>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</si>
  <si>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</si>
  <si>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</si>
  <si>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</si>
  <si>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</si>
  <si>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</si>
  <si>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</si>
  <si>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</si>
  <si>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</si>
  <si>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28.6x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</si>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</sst>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0.05302228368326145</v>
      </c>
    </row>
    <row r="7" spans="1:2" x14ac:dyDescent="0.25">
      <c r="A7" t="s">
        <v>4</v>
      </c>
      <c r="B7" s="5">
        <v>0.2852915783144202</v>
      </c>
    </row>
    <row r="8" spans="1:2" x14ac:dyDescent="0.25">
      <c r="A8" t="s">
        <v>5</v>
      </c>
      <c r="B8" s="5">
        <v>0.1781822959284421</v>
      </c>
    </row>
    <row r="9" spans="1:2" x14ac:dyDescent="0.25">
      <c r="A9" t="s">
        <v>6</v>
      </c>
      <c r="B9" s="5">
        <v>0.030958862675272855</v>
      </c>
    </row>
    <row r="10" spans="1:3" x14ac:dyDescent="0.25">
      <c r="A10" t="s">
        <v>7</v>
      </c>
      <c r="B10" s="5">
        <v>0.02804232690518677</v>
      </c>
      <c r="C10" s="6" t="s">
        <v>8</v>
      </c>
    </row>
    <row r="11" spans="1:2" x14ac:dyDescent="0.25">
      <c r="A11" t="s">
        <v>9</v>
      </c>
      <c r="B11" s="5">
        <v>0.22239994126886425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0.4566886270250278</v>
      </c>
      <c r="C14" s="6" t="s">
        <v>13</v>
      </c>
    </row>
    <row r="15" spans="1:3" x14ac:dyDescent="0.25">
      <c r="A15" t="s">
        <v>14</v>
      </c>
      <c r="B15" s="5">
        <v>0.012640380007725528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1.1252900000000001</v>
      </c>
      <c r="C19" s="6" t="s">
        <v>21</v>
      </c>
    </row>
    <row r="20" spans="1:2" x14ac:dyDescent="0.25">
      <c r="A20" t="s">
        <v>22</v>
      </c>
      <c r="B20" s="9">
        <f>B17+B19*B18</f>
        <v>0.096539767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33557432320</v>
      </c>
    </row>
    <row r="23" spans="1:2" x14ac:dyDescent="0.25">
      <c r="A23" t="s">
        <v>26</v>
      </c>
      <c r="B23" s="10">
        <v>2152172000</v>
      </c>
    </row>
    <row r="24" spans="1:2" x14ac:dyDescent="0.25">
      <c r="A24" t="s">
        <v>27</v>
      </c>
      <c r="B24" s="9">
        <f>B22/(B22+B23)</f>
        <v>0.9397312840345692</v>
      </c>
    </row>
    <row r="25" spans="1:2" x14ac:dyDescent="0.25">
      <c r="A25" t="s">
        <v>28</v>
      </c>
      <c r="B25" s="9">
        <f>1-B24</f>
        <v>0.06026871596543082</v>
      </c>
    </row>
    <row r="26" spans="1:2" x14ac:dyDescent="0.25">
      <c r="A26" t="s">
        <v>29</v>
      </c>
      <c r="B26" s="11">
        <f>B24*B20+B25*B21*(1-B8)</f>
        <v>0.09334355199188991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4026399000</v>
      </c>
      <c r="C29" s="6" t="s">
        <v>32</v>
      </c>
    </row>
    <row r="30" spans="1:2" x14ac:dyDescent="0.25">
      <c r="A30" t="s">
        <v>33</v>
      </c>
      <c r="B30" s="10">
        <v>2085284000</v>
      </c>
    </row>
    <row r="31" spans="1:2" x14ac:dyDescent="0.25">
      <c r="A31" t="s">
        <v>34</v>
      </c>
      <c r="B31" s="12">
        <v>20671708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0.05302228368326145</v>
      </c>
      <c r="C5" s="5">
        <v>0.04743578041841001</v>
      </c>
      <c r="D5" s="5">
        <v>0.04463130786610876</v>
      </c>
      <c r="E5" s="5">
        <v>0.04182683531380751</v>
      </c>
      <c r="F5" s="5">
        <v>0.03902236276150626</v>
      </c>
      <c r="G5" s="5">
        <v>0.036217890209205</v>
      </c>
      <c r="H5" s="5">
        <v>0.033413417656903754</v>
      </c>
      <c r="I5" s="5">
        <v>0.030608945104602506</v>
      </c>
      <c r="J5" s="5">
        <v>0.027804472552301254</v>
      </c>
      <c r="K5" s="5">
        <v>0.025</v>
      </c>
    </row>
    <row r="6" spans="1:11" x14ac:dyDescent="0.25">
      <c r="A6" t="s">
        <v>50</v>
      </c>
      <c r="B6" s="18">
        <f>Assumptions!B29*(1+B5)</f>
        <v>4239887870</v>
      </c>
      <c r="C6" s="18">
        <f>B6*(1+C5)</f>
        <v>4441010260</v>
      </c>
      <c r="D6" s="18">
        <f>C6*(1+D5)</f>
        <v>4639218356.150607</v>
      </c>
      <c r="E6" s="18">
        <f>D6*(1+E5)</f>
        <v>4833262178.318111</v>
      </c>
      <c r="F6" s="18">
        <f>E6*(1+F5)</f>
        <v>5021867488.361909</v>
      </c>
      <c r="G6" s="18">
        <f>F6*(1+G5)</f>
        <v>5203748933.700577</v>
      </c>
      <c r="H6" s="18">
        <f>G6*(1+H5)</f>
        <v>5377623970.203981</v>
      </c>
      <c r="I6" s="18">
        <f>H6*(1+I5)</f>
        <v>5542227367.10115</v>
      </c>
      <c r="J6" s="18">
        <f>I6*(1+J5)</f>
        <v>5696326075.808326</v>
      </c>
      <c r="K6" s="18">
        <f>J6*(1+K5)</f>
        <v>5838734227.703533</v>
      </c>
    </row>
    <row r="7" spans="1:11" x14ac:dyDescent="0.25">
      <c r="A7" t="s">
        <v>4</v>
      </c>
      <c r="B7" s="9">
        <f>Assumptions!B7</f>
        <v>0.2852915783144202</v>
      </c>
      <c r="C7" s="9">
        <f>Assumptions!B7</f>
        <v>0.2852915783144202</v>
      </c>
      <c r="D7" s="9">
        <f>Assumptions!B7</f>
        <v>0.2852915783144202</v>
      </c>
      <c r="E7" s="9">
        <f>Assumptions!B7</f>
        <v>0.2852915783144202</v>
      </c>
      <c r="F7" s="9">
        <f>Assumptions!B7</f>
        <v>0.2852915783144202</v>
      </c>
      <c r="G7" s="9">
        <f>Assumptions!B7</f>
        <v>0.2852915783144202</v>
      </c>
      <c r="H7" s="9">
        <f>Assumptions!B7</f>
        <v>0.2852915783144202</v>
      </c>
      <c r="I7" s="9">
        <f>Assumptions!B7</f>
        <v>0.2852915783144202</v>
      </c>
      <c r="J7" s="9">
        <f>Assumptions!B7</f>
        <v>0.2852915783144202</v>
      </c>
      <c r="K7" s="9">
        <f>Assumptions!B7</f>
        <v>0.2852915783144202</v>
      </c>
    </row>
    <row r="8" spans="1:11" x14ac:dyDescent="0.25">
      <c r="A8" t="s">
        <v>51</v>
      </c>
      <c r="B8" s="18">
        <f>B6*B7</f>
        <v>1209604302.3084652</v>
      </c>
      <c r="C8" s="18">
        <f>C6*C7</f>
        <v>1266982826.3859336</v>
      </c>
      <c r="D8" s="18">
        <f>D6*D7</f>
        <v>1323529926.9714367</v>
      </c>
      <c r="E8" s="18">
        <f>E6*E7</f>
        <v>1378888995.2597666</v>
      </c>
      <c r="F8" s="18">
        <f>F6*F7</f>
        <v>1432696501.8406422</v>
      </c>
      <c r="G8" s="18">
        <f>G6*G7</f>
        <v>1484585746.4474187</v>
      </c>
      <c r="H8" s="18">
        <f>H6*H7</f>
        <v>1534190830.0409524</v>
      </c>
      <c r="I8" s="18">
        <f>I6*I7</f>
        <v>1581150792.9376605</v>
      </c>
      <c r="J8" s="18">
        <f>J6*J7</f>
        <v>1625113856.7609448</v>
      </c>
      <c r="K8" s="18">
        <f>K6*K7</f>
        <v>1665741703.1799684</v>
      </c>
    </row>
    <row r="9" spans="1:11" x14ac:dyDescent="0.25">
      <c r="A9" t="s">
        <v>52</v>
      </c>
      <c r="B9" s="18">
        <f>B8*(1-Assumptions!B8)</f>
        <v>994074230.5582216</v>
      </c>
      <c r="C9" s="18">
        <f>C8*(1-Assumptions!B8)</f>
        <v>1041228917.4785813</v>
      </c>
      <c r="D9" s="18">
        <f>D8*(1-Assumptions!B8)</f>
        <v>1087700325.853663</v>
      </c>
      <c r="E9" s="18">
        <f>E8*(1-Assumptions!B8)</f>
        <v>1133195388.2539186</v>
      </c>
      <c r="F9" s="18">
        <f>F8*(1-Assumptions!B8)</f>
        <v>1177415349.7740293</v>
      </c>
      <c r="G9" s="18">
        <f>G8*(1-Assumptions!B8)</f>
        <v>1220058849.6427777</v>
      </c>
      <c r="H9" s="18">
        <f>H8*(1-Assumptions!B8)</f>
        <v>1260825185.5518932</v>
      </c>
      <c r="I9" s="18">
        <f>I8*(1-Assumptions!B8)</f>
        <v>1299417714.4429514</v>
      </c>
      <c r="J9" s="18">
        <f>J8*(1-Assumptions!B8)</f>
        <v>1335547338.6181545</v>
      </c>
      <c r="K9" s="18">
        <f>K8*(1-Assumptions!B8)</f>
        <v>1368936022.0836082</v>
      </c>
    </row>
    <row r="10" spans="1:11" x14ac:dyDescent="0.25">
      <c r="A10" t="s">
        <v>53</v>
      </c>
      <c r="B10" s="18">
        <f>B6*Assumptions!B9</f>
        <v>131262106.32588513</v>
      </c>
      <c r="C10" s="18">
        <f>C6*Assumptions!B9</f>
        <v>137488626.7788178</v>
      </c>
      <c r="D10" s="18">
        <f>D6*Assumptions!B9</f>
        <v>143624924.00867173</v>
      </c>
      <c r="E10" s="18">
        <f>E6*Assumptions!B9</f>
        <v>149632300.05214056</v>
      </c>
      <c r="F10" s="18">
        <f>F6*Assumptions!B9</f>
        <v>155471305.94561374</v>
      </c>
      <c r="G10" s="18">
        <f>G6*Assumptions!B9</f>
        <v>161102148.6350337</v>
      </c>
      <c r="H10" s="18">
        <f>H6*Assumptions!B9</f>
        <v>166485122.01280066</v>
      </c>
      <c r="I10" s="18">
        <f>I6*Assumptions!B9</f>
        <v>171581055.97322354</v>
      </c>
      <c r="J10" s="18">
        <f>J6*Assumptions!B9</f>
        <v>176351776.73452586</v>
      </c>
      <c r="K10" s="18">
        <f>K6*Assumptions!B9</f>
        <v>180760571.15288898</v>
      </c>
    </row>
    <row r="11" spans="1:11" x14ac:dyDescent="0.25">
      <c r="A11" t="s">
        <v>54</v>
      </c>
      <c r="B11" s="18">
        <f>-B6*B19</f>
        <v>-118896321.69187602</v>
      </c>
      <c r="C11" s="18">
        <f>-C6*C19</f>
        <v>-123676096.57248467</v>
      </c>
      <c r="D11" s="18">
        <f>-D6*D19</f>
        <v>-128297367.30086116</v>
      </c>
      <c r="E11" s="18">
        <f>-E6*E19</f>
        <v>-132727501.21978822</v>
      </c>
      <c r="F11" s="18">
        <f>-F6*F19</f>
        <v>-136934172.63336214</v>
      </c>
      <c r="G11" s="18">
        <f>-G6*G19</f>
        <v>-140885742.14676982</v>
      </c>
      <c r="H11" s="18">
        <f>-H6*H19</f>
        <v>-144551641.68010154</v>
      </c>
      <c r="I11" s="18">
        <f>-I6*I19</f>
        <v>-147902758.83405876</v>
      </c>
      <c r="J11" s="18">
        <f>-J6*J19</f>
        <v>-150911814.04048613</v>
      </c>
      <c r="K11" s="18">
        <f>-K6*K19</f>
        <v>-153553723.82471484</v>
      </c>
    </row>
    <row r="12" spans="1:11" x14ac:dyDescent="0.25">
      <c r="A12" t="s">
        <v>55</v>
      </c>
      <c r="B12" s="18">
        <f>-(B6-Assumptions!B29)*Assumptions!B11</f>
        <v>-47479912.1495562</v>
      </c>
      <c r="C12" s="18">
        <f>-(C6-B6)*Assumptions!B11</f>
        <v>-44729607.72385361</v>
      </c>
      <c r="D12" s="18">
        <f>-(D6-C6)*Assumptions!B11</f>
        <v>-44081468.94290842</v>
      </c>
      <c r="E12" s="18">
        <f>-(E6-D6)*Assumptions!B11</f>
        <v>-43155334.6536389</v>
      </c>
      <c r="F12" s="18">
        <f>-(F6-E6)*Assumptions!B11</f>
        <v>-41945809.8767365</v>
      </c>
      <c r="G12" s="18">
        <f>-(G6-F6)*Assumptions!B11</f>
        <v>-40450422.76121588</v>
      </c>
      <c r="H12" s="18">
        <f>-(H6-G6)*Assumptions!B11</f>
        <v>-38669797.906478815</v>
      </c>
      <c r="I12" s="18">
        <f>-(I6-H6)*Assumptions!B11</f>
        <v>-36607785.80258575</v>
      </c>
      <c r="J12" s="18">
        <f>-(J6-I6)*Assumptions!B11</f>
        <v>-34271543.76608381</v>
      </c>
      <c r="K12" s="18">
        <f>-(K6-J6)*Assumptions!B11</f>
        <v>-31671564.617701627</v>
      </c>
    </row>
    <row r="13" spans="1:11" x14ac:dyDescent="0.25">
      <c r="A13" s="19" t="s">
        <v>56</v>
      </c>
      <c r="B13" s="20">
        <f>B9+B10+B11+B12</f>
        <v>958960103.0426744</v>
      </c>
      <c r="C13" s="20">
        <f>C9+C10+C11+C12</f>
        <v>1010311839.9610608</v>
      </c>
      <c r="D13" s="20">
        <f>D9+D10+D11+D12</f>
        <v>1058946413.6185652</v>
      </c>
      <c r="E13" s="20">
        <f>E9+E10+E11+E12</f>
        <v>1106944852.432632</v>
      </c>
      <c r="F13" s="20">
        <f>F9+F10+F11+F12</f>
        <v>1154006673.2095447</v>
      </c>
      <c r="G13" s="20">
        <f>G9+G10+G11+G12</f>
        <v>1199824833.3698256</v>
      </c>
      <c r="H13" s="20">
        <f>H9+H10+H11+H12</f>
        <v>1244088867.9781134</v>
      </c>
      <c r="I13" s="20">
        <f>I9+I10+I11+I12</f>
        <v>1286488225.7795303</v>
      </c>
      <c r="J13" s="20">
        <f>J9+J10+J11+J12</f>
        <v>1326715757.5461106</v>
      </c>
      <c r="K13" s="20">
        <f>K9+K10+K11+K12</f>
        <v>1364471304.7940807</v>
      </c>
    </row>
    <row r="14" spans="1:11" x14ac:dyDescent="0.25">
      <c r="A14" t="s">
        <v>57</v>
      </c>
      <c r="B14" s="21">
        <f>1/(1+Assumptions!$B$26)^(1-0.5*Assumptions!$B$32)</f>
        <v>0.9563606003726305</v>
      </c>
      <c r="C14" s="21">
        <f>1/(1+Assumptions!$B$26)^(2-0.5*Assumptions!$B$32)</f>
        <v>0.8747118859669504</v>
      </c>
      <c r="D14" s="21">
        <f>1/(1+Assumptions!$B$26)^(3-0.5*Assumptions!$B$32)</f>
        <v>0.8000338817322067</v>
      </c>
      <c r="E14" s="21">
        <f>1/(1+Assumptions!$B$26)^(4-0.5*Assumptions!$B$32)</f>
        <v>0.7317314674556576</v>
      </c>
      <c r="F14" s="21">
        <f>1/(1+Assumptions!$B$26)^(5-0.5*Assumptions!$B$32)</f>
        <v>0.669260330956875</v>
      </c>
      <c r="G14" s="21">
        <f>1/(1+Assumptions!$B$26)^(6-0.5*Assumptions!$B$32)</f>
        <v>0.6121226303823663</v>
      </c>
      <c r="H14" s="21">
        <f>1/(1+Assumptions!$B$26)^(7-0.5*Assumptions!$B$32)</f>
        <v>0.5598630268291981</v>
      </c>
      <c r="I14" s="21">
        <f>1/(1+Assumptions!$B$26)^(8-0.5*Assumptions!$B$32)</f>
        <v>0.5120650556810079</v>
      </c>
      <c r="J14" s="21">
        <f>1/(1+Assumptions!$B$26)^(9-0.5*Assumptions!$B$32)</f>
        <v>0.46834780773903195</v>
      </c>
      <c r="K14" s="21">
        <f>1/(1+Assumptions!$B$26)^(10-0.5*Assumptions!$B$32)</f>
        <v>0.428362893699588</v>
      </c>
    </row>
    <row r="15" spans="1:11" x14ac:dyDescent="0.25">
      <c r="A15" s="19" t="s">
        <v>58</v>
      </c>
      <c r="B15" s="20">
        <f>B13*B14</f>
        <v>917111659.8792917</v>
      </c>
      <c r="C15" s="20">
        <f>C13*C14</f>
        <v>883731774.9470792</v>
      </c>
      <c r="D15" s="20">
        <f>D13*D14</f>
        <v>847193009.8336596</v>
      </c>
      <c r="E15" s="20">
        <f>E13*E14</f>
        <v>809986381.2630162</v>
      </c>
      <c r="F15" s="20">
        <f>F13*F14</f>
        <v>772330888.0386621</v>
      </c>
      <c r="G15" s="20">
        <f>G13*G14</f>
        <v>734439933.0004219</v>
      </c>
      <c r="H15" s="20">
        <f>H13*H14</f>
        <v>696519359.2707372</v>
      </c>
      <c r="I15" s="20">
        <f>I13*I14</f>
        <v>658765664.9667562</v>
      </c>
      <c r="J15" s="20">
        <f>J13*J14</f>
        <v>621364416.53955</v>
      </c>
      <c r="K15" s="20">
        <f>K13*K14</f>
        <v>584488876.491645</v>
      </c>
    </row>
    <row r="17" spans="1:2" x14ac:dyDescent="0.25">
      <c r="A17" s="22" t="s">
        <v>59</v>
      </c>
      <c r="B17" s="23">
        <f>SUM(B15:K15)</f>
        <v>7525931964.230819</v>
      </c>
    </row>
    <row r="19" spans="1:11" x14ac:dyDescent="0.25">
      <c r="A19" t="s">
        <v>7</v>
      </c>
      <c r="B19" s="9">
        <f>Assumptions!$B$10+($B$20-Assumptions!$B$10)*0/9</f>
        <v>0.02804232690518677</v>
      </c>
      <c r="C19" s="9">
        <f>Assumptions!$B$10+($B$20-Assumptions!$B$10)*1/9</f>
        <v>0.027848640136328952</v>
      </c>
      <c r="D19" s="9">
        <f>Assumptions!$B$10+($B$20-Assumptions!$B$10)*2/9</f>
        <v>0.02765495336747114</v>
      </c>
      <c r="E19" s="9">
        <f>Assumptions!$B$10+($B$20-Assumptions!$B$10)*3/9</f>
        <v>0.027461266598613324</v>
      </c>
      <c r="F19" s="9">
        <f>Assumptions!$B$10+($B$20-Assumptions!$B$10)*4/9</f>
        <v>0.027267579829755507</v>
      </c>
      <c r="G19" s="9">
        <f>Assumptions!$B$10+($B$20-Assumptions!$B$10)*5/9</f>
        <v>0.027073893060897695</v>
      </c>
      <c r="H19" s="9">
        <f>Assumptions!$B$10+($B$20-Assumptions!$B$10)*6/9</f>
        <v>0.02688020629203988</v>
      </c>
      <c r="I19" s="9">
        <f>Assumptions!$B$10+($B$20-Assumptions!$B$10)*7/9</f>
        <v>0.026686519523182062</v>
      </c>
      <c r="J19" s="9">
        <f>Assumptions!$B$10+($B$20-Assumptions!$B$10)*8/9</f>
        <v>0.02649283275432425</v>
      </c>
      <c r="K19" s="9">
        <f>Assumptions!$B$10+($B$20-Assumptions!$B$10)*9/9</f>
        <v>0.026299145985466434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0.026299145985466434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1364471304.7940807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1456834974.24224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0.05474189309870844</v>
      </c>
    </row>
    <row r="7" spans="1:2" x14ac:dyDescent="0.25">
      <c r="A7" t="s">
        <v>66</v>
      </c>
      <c r="B7" s="18">
        <f>-MAX(B5,0)*B6</f>
        <v>-79749904.42242835</v>
      </c>
    </row>
    <row r="8" spans="1:2" x14ac:dyDescent="0.25">
      <c r="A8" t="s">
        <v>67</v>
      </c>
      <c r="B8" s="18">
        <f>IF(OR(Assumptions!$B$33=0,Assumptions!B12&lt;=0),B5,MAX(B5+B7,0))</f>
        <v>1377085069.8198116</v>
      </c>
    </row>
    <row r="9" spans="1:2" x14ac:dyDescent="0.25">
      <c r="A9" t="s">
        <v>68</v>
      </c>
      <c r="B9" s="18">
        <f>B8*(1+Assumptions!B12)/(Assumptions!B26-Assumptions!B12)</f>
        <v>20653187541.85919</v>
      </c>
    </row>
    <row r="10" spans="1:2" x14ac:dyDescent="0.25">
      <c r="A10" t="s">
        <v>69</v>
      </c>
      <c r="B10" s="18">
        <f>B9/(1+Assumptions!B26)^(10-0.5*Assumptions!B32)</f>
        <v>8847059179.551085</v>
      </c>
    </row>
    <row r="11" spans="1:2" x14ac:dyDescent="0.25">
      <c r="A11" t="s">
        <v>70</v>
      </c>
      <c r="B11" s="18">
        <f>Forecast!B17+B10</f>
        <v>16372991143.781902</v>
      </c>
    </row>
    <row r="12" spans="1:2" x14ac:dyDescent="0.25">
      <c r="A12" t="s">
        <v>71</v>
      </c>
      <c r="B12" s="18">
        <f>-Assumptions!B30</f>
        <v>-2085284000</v>
      </c>
    </row>
    <row r="13" spans="1:2" x14ac:dyDescent="0.25">
      <c r="A13" t="s">
        <v>72</v>
      </c>
      <c r="B13" s="18">
        <f>B11+B12</f>
        <v>14287707143.781902</v>
      </c>
    </row>
    <row r="14" spans="1:2" x14ac:dyDescent="0.25">
      <c r="A14" s="19" t="s">
        <v>73</v>
      </c>
      <c r="B14" s="24">
        <f>B13/Assumptions!B31</f>
        <v>691.172066854945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1846502274.3328574</v>
      </c>
    </row>
    <row r="18" spans="1:2" x14ac:dyDescent="0.25">
      <c r="A18" t="s">
        <v>68</v>
      </c>
      <c r="B18" s="18">
        <f>B17*Assumptions!B13</f>
        <v>36930045486.65715</v>
      </c>
    </row>
    <row r="19" spans="1:2" x14ac:dyDescent="0.25">
      <c r="A19" t="s">
        <v>69</v>
      </c>
      <c r="B19" s="18">
        <f>B18/(1+Assumptions!B26)^(10-0.5*Assumptions!B32)</f>
        <v>15819461149.121868</v>
      </c>
    </row>
    <row r="20" spans="1:2" x14ac:dyDescent="0.25">
      <c r="A20" t="s">
        <v>70</v>
      </c>
      <c r="B20" s="18">
        <f>Forecast!B17+B19</f>
        <v>23345393113.352688</v>
      </c>
    </row>
    <row r="21" spans="1:2" x14ac:dyDescent="0.25">
      <c r="A21" t="s">
        <v>71</v>
      </c>
      <c r="B21" s="18">
        <f>-Assumptions!B30</f>
        <v>-2085284000</v>
      </c>
    </row>
    <row r="22" spans="1:2" x14ac:dyDescent="0.25">
      <c r="A22" t="s">
        <v>72</v>
      </c>
      <c r="B22" s="18">
        <f>B20+B21</f>
        <v>21260109113.352688</v>
      </c>
    </row>
    <row r="23" spans="1:2" x14ac:dyDescent="0.25">
      <c r="A23" s="19" t="s">
        <v>73</v>
      </c>
      <c r="B23" s="25">
        <f>B22/Assumptions!B31</f>
        <v>1028.4640782151473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1674.81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691.172066854945</v>
      </c>
    </row>
    <row r="29" spans="1:2" x14ac:dyDescent="0.25">
      <c r="A29" s="19" t="s">
        <v>81</v>
      </c>
      <c r="B29" s="11">
        <f>B28/B26-1</f>
        <v>-0.5873131478466542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0.073344</v>
      </c>
      <c r="B5" s="31">
        <v>905.672324502526</v>
      </c>
      <c r="C5" s="31">
        <v>955.9320489102555</v>
      </c>
      <c r="D5" s="31">
        <v>1016.9630677131461</v>
      </c>
      <c r="E5" s="31">
        <v>1092.4929883292357</v>
      </c>
      <c r="F5" s="31">
        <v>1188.193715807501</v>
      </c>
    </row>
    <row r="6" spans="1:6" x14ac:dyDescent="0.25">
      <c r="A6" s="30">
        <v>0.083344</v>
      </c>
      <c r="B6" s="31">
        <v>756.3281508226931</v>
      </c>
      <c r="C6" s="31">
        <v>788.308924582792</v>
      </c>
      <c r="D6" s="31">
        <v>826.0650360246806</v>
      </c>
      <c r="E6" s="31">
        <v>871.2204740735785</v>
      </c>
      <c r="F6" s="31">
        <v>926.0710748023199</v>
      </c>
    </row>
    <row r="7" spans="1:6" x14ac:dyDescent="0.25">
      <c r="A7" s="30">
        <v>0.093344</v>
      </c>
      <c r="B7" s="31">
        <v>645.3688531555676</v>
      </c>
      <c r="C7" s="31">
        <v>666.5961415252947</v>
      </c>
      <c r="D7" s="32">
        <v>691.1669104382852</v>
      </c>
      <c r="E7" s="31">
        <v>719.8729035190178</v>
      </c>
      <c r="F7" s="31">
        <v>753.7772697205321</v>
      </c>
    </row>
    <row r="8" spans="1:6" x14ac:dyDescent="0.25">
      <c r="A8" s="30">
        <v>0.103344</v>
      </c>
      <c r="B8" s="31">
        <v>559.7417987789901</v>
      </c>
      <c r="C8" s="31">
        <v>574.254172292949</v>
      </c>
      <c r="D8" s="31">
        <v>590.815263821324</v>
      </c>
      <c r="E8" s="31">
        <v>609.8440683768812</v>
      </c>
      <c r="F8" s="31">
        <v>631.8821945193727</v>
      </c>
    </row>
    <row r="9" spans="1:6" x14ac:dyDescent="0.25">
      <c r="A9" s="30">
        <v>0.113344</v>
      </c>
      <c r="B9" s="31">
        <v>491.70472838408153</v>
      </c>
      <c r="C9" s="31">
        <v>501.83214376522193</v>
      </c>
      <c r="D9" s="31">
        <v>513.2710131257302</v>
      </c>
      <c r="E9" s="31">
        <v>526.2573679698602</v>
      </c>
      <c r="F9" s="31">
        <v>541.0874949596964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4026399000</v>
      </c>
      <c r="C5" s="18">
        <v>3872361000</v>
      </c>
      <c r="D5" s="18">
        <v>3788309000</v>
      </c>
      <c r="E5" s="18">
        <v>3919709000</v>
      </c>
      <c r="F5" s="6" t="s">
        <v>91</v>
      </c>
    </row>
    <row r="6" spans="1:6" x14ac:dyDescent="0.25">
      <c r="A6" t="s">
        <v>51</v>
      </c>
      <c r="B6" s="18">
        <v>1118490000</v>
      </c>
      <c r="C6" s="18">
        <v>1127054000</v>
      </c>
      <c r="D6" s="18">
        <v>1079683000</v>
      </c>
      <c r="E6" s="18">
        <v>1126220000</v>
      </c>
      <c r="F6" s="6" t="s">
        <v>92</v>
      </c>
    </row>
    <row r="7" spans="1:6" x14ac:dyDescent="0.25">
      <c r="A7" t="s">
        <v>93</v>
      </c>
      <c r="B7" s="18">
        <v>125610000</v>
      </c>
      <c r="C7" s="18">
        <v>123221000</v>
      </c>
      <c r="D7" s="18">
        <v>121164000</v>
      </c>
      <c r="E7" s="18">
        <v>113023000</v>
      </c>
      <c r="F7" s="6" t="s">
        <v>94</v>
      </c>
    </row>
    <row r="8" spans="1:6" x14ac:dyDescent="0.25">
      <c r="A8" t="s">
        <v>95</v>
      </c>
      <c r="B8" s="18">
        <v>107124000</v>
      </c>
      <c r="C8" s="18">
        <v>103898000</v>
      </c>
      <c r="D8" s="18">
        <v>105323000</v>
      </c>
      <c r="E8" s="18">
        <v>121241000</v>
      </c>
      <c r="F8" s="6" t="s">
        <v>96</v>
      </c>
    </row>
    <row r="9" spans="1:6" x14ac:dyDescent="0.25">
      <c r="A9" t="s">
        <v>97</v>
      </c>
      <c r="B9" s="18">
        <v>65329000</v>
      </c>
      <c r="C9" s="18">
        <v>9796000</v>
      </c>
      <c r="D9" s="18">
        <v>-51377000</v>
      </c>
      <c r="E9" s="18">
        <v>172636000</v>
      </c>
      <c r="F9" s="6" t="s">
        <v>98</v>
      </c>
    </row>
    <row r="10" spans="1:6" x14ac:dyDescent="0.25">
      <c r="A10" t="s">
        <v>99</v>
      </c>
      <c r="B10" s="18">
        <v>2152172000</v>
      </c>
      <c r="C10" s="18">
        <v>2013888000</v>
      </c>
      <c r="D10" s="18">
        <v>2080839000</v>
      </c>
      <c r="E10" s="18">
        <v>2014534000</v>
      </c>
      <c r="F10" s="6" t="s">
        <v>100</v>
      </c>
    </row>
    <row r="11" spans="1:6" x14ac:dyDescent="0.25">
      <c r="A11" t="s">
        <v>101</v>
      </c>
      <c r="B11" s="18">
        <v>66888000</v>
      </c>
      <c r="C11" s="18">
        <v>59362000</v>
      </c>
      <c r="D11" s="18">
        <v>69807000</v>
      </c>
      <c r="E11" s="18">
        <v>95966000</v>
      </c>
      <c r="F11" s="6" t="s">
        <v>102</v>
      </c>
    </row>
    <row r="12" spans="1:6" x14ac:dyDescent="0.25">
      <c r="A12" t="s">
        <v>34</v>
      </c>
      <c r="B12" s="34">
        <v>20671708</v>
      </c>
      <c r="C12" s="34">
        <v>21320641</v>
      </c>
      <c r="D12" s="34">
        <v>21971528</v>
      </c>
      <c r="E12" s="34">
        <v>22718290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