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<sst xmlns="http://schemas.openxmlformats.org/spreadsheetml/2006/main" count="112" uniqueCount="100">
  <si>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Mettler-Toledo International Inc. (MTD)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</si>
  <si>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</si>
  <si>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</si>
  <si>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</si>
  <si>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</si>
  <si>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</si>
  <si>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</si>
  <si>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</si>
  <si>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</si>
  <si>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</si>
  <si>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</si>
  <si>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</si>
  <si>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</si>
  <si>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</si>
  <si>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</si>
  <si>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</si>
  <si>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</si>
  <si>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</si>
  <si>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</si>
  <si>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</si>
  <si>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</si>
  <si>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</si>
  <si>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</si>
  <si>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</si>
  <si>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</si>
  <si>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</si>
  <si>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</si>
  <si>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</si>
  <si>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</si>
  <si>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</si>
  <si>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</si>
  <si>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</si>
  <si>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</si>
  <si>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</si>
  <si>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</si>
  <si>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</si>
  <si>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</si>
  <si>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</si>
  <si>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</si>
  <si>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</si>
  <si>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</si>
  <si>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</si>
  <si>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</si>
  <si>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</si>
  <si>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</si>
  <si>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</si>
  <si>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</si>
  <si>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</si>
  <si>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</si>
  <si>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</si>
  <si>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</si>
  <si>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</si>
  <si>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</si>
  <si>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</si>
  <si>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</si>
  <si>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</si>
  <si>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</si>
  <si>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</si>
  <si>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</si>
  <si>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</si>
  <si>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</si>
  <si>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</si>
  <si>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</si>
  <si>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</si>
  <si>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</si>
  <si>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</si>
  <si>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</si>
  <si>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</si>
  <si>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</si>
  <si>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</si>
  <si>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</si>
  <si>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</si>
  <si>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</si>
  <si>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</si>
  <si>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</si>
  <si>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</si>
  <si>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</si>
  <si>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</si>
  <si>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</si>
  <si>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</si>
  <si>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</si>
  <si>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</si>
  <si>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</si>
  <si>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</si>
  <si>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</si>
  <si>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</si>
  <si>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</si>
  <si>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</si>
  <si>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</si>
  <si>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</si>
  <si>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</si>
  <si>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</si>
  <si>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</si>
  <si>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</si>
  <si>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</si>
  <si>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</si>
  <si>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</si>
  <si>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</si>
  <si>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24.1x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</si>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</sst>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0.008991856613079108</v>
      </c>
    </row>
    <row r="7" spans="1:2" x14ac:dyDescent="0.25">
      <c r="A7" t="s">
        <v>5</v>
      </c>
      <c r="B7" s="6">
        <v>0.2852915783144202</v>
      </c>
    </row>
    <row r="8" spans="1:2" x14ac:dyDescent="0.25">
      <c r="A8" t="s">
        <v>6</v>
      </c>
      <c r="B8" s="6">
        <v>0.1781822959284421</v>
      </c>
    </row>
    <row r="9" spans="1:2" x14ac:dyDescent="0.25">
      <c r="A9" t="s">
        <v>7</v>
      </c>
      <c r="B9" s="6">
        <v>0.030958862675272855</v>
      </c>
    </row>
    <row r="10" spans="1:2" x14ac:dyDescent="0.25">
      <c r="A10" t="s">
        <v>8</v>
      </c>
      <c r="B10" s="6">
        <v>0.02804232690518677</v>
      </c>
    </row>
    <row r="11" spans="1:2" x14ac:dyDescent="0.25">
      <c r="A11" t="s">
        <v>9</v>
      </c>
      <c r="B11" s="6">
        <v>0.3909969558599696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0.4566886270250278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1.1474</v>
      </c>
      <c r="C19" s="8" t="s">
        <v>19</v>
      </c>
    </row>
    <row r="20" spans="1:2" x14ac:dyDescent="0.25">
      <c r="A20" t="s">
        <v>20</v>
      </c>
      <c r="B20" s="10">
        <f>B17+B19*B18</f>
        <v>0.113087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27897303040</v>
      </c>
    </row>
    <row r="23" spans="1:2" x14ac:dyDescent="0.25">
      <c r="A23" t="s">
        <v>24</v>
      </c>
      <c r="B23" s="11">
        <v>2152172000</v>
      </c>
    </row>
    <row r="24" spans="1:2" x14ac:dyDescent="0.25">
      <c r="A24" t="s">
        <v>25</v>
      </c>
      <c r="B24" s="10">
        <f>B22/(B22+B23)</f>
        <v>0.9283790483149819</v>
      </c>
    </row>
    <row r="25" spans="1:2" x14ac:dyDescent="0.25">
      <c r="A25" t="s">
        <v>26</v>
      </c>
      <c r="B25" s="10">
        <f>1-B24</f>
        <v>0.07162095168501814</v>
      </c>
    </row>
    <row r="26" spans="1:2" x14ac:dyDescent="0.25">
      <c r="A26" t="s">
        <v>27</v>
      </c>
      <c r="B26" s="12">
        <f>B24*B20+B25*B21*(1-B8)</f>
        <v>0.10792939255333489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4026399000</v>
      </c>
      <c r="C29" s="8" t="s">
        <v>30</v>
      </c>
    </row>
    <row r="30" spans="1:2" x14ac:dyDescent="0.25">
      <c r="A30" t="s">
        <v>31</v>
      </c>
      <c r="B30" s="11">
        <v>2085284000</v>
      </c>
    </row>
    <row r="31" spans="1:2" x14ac:dyDescent="0.25">
      <c r="A31" t="s">
        <v>32</v>
      </c>
      <c r="B31" s="13">
        <v>20671708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0.008991856613079108</v>
      </c>
      <c r="C5" s="10">
        <f>Assumptions!B6</f>
        <v>0.008991856613079108</v>
      </c>
      <c r="D5" s="10">
        <f>Assumptions!B6</f>
        <v>0.008991856613079108</v>
      </c>
      <c r="E5" s="10">
        <f>Assumptions!B6</f>
        <v>0.008991856613079108</v>
      </c>
      <c r="F5" s="10">
        <f>Assumptions!B6</f>
        <v>0.008991856613079108</v>
      </c>
    </row>
    <row r="6" spans="1:6" x14ac:dyDescent="0.25">
      <c r="A6" t="s">
        <v>43</v>
      </c>
      <c r="B6" s="18">
        <f>Assumptions!B29*(1+B5)</f>
        <v>4062603802.475045</v>
      </c>
      <c r="C6" s="18">
        <f>B6*(1+C5)</f>
        <v>4099134153.342651</v>
      </c>
      <c r="D6" s="18">
        <f>C6*(1+D5)</f>
        <v>4135992979.8872833</v>
      </c>
      <c r="E6" s="18">
        <f>D6*(1+E5)</f>
        <v>4173183235.7151318</v>
      </c>
      <c r="F6" s="18">
        <f>E6*(1+F5)</f>
        <v>4210707900.9907875</v>
      </c>
    </row>
    <row r="7" spans="1:6" x14ac:dyDescent="0.25">
      <c r="A7" t="s">
        <v>5</v>
      </c>
      <c r="B7" s="10">
        <f>Assumptions!B7</f>
        <v>0.2852915783144202</v>
      </c>
      <c r="C7" s="10">
        <f>Assumptions!B7</f>
        <v>0.2852915783144202</v>
      </c>
      <c r="D7" s="10">
        <f>Assumptions!B7</f>
        <v>0.2852915783144202</v>
      </c>
      <c r="E7" s="10">
        <f>Assumptions!B7</f>
        <v>0.2852915783144202</v>
      </c>
      <c r="F7" s="10">
        <f>Assumptions!B7</f>
        <v>0.2852915783144202</v>
      </c>
    </row>
    <row r="8" spans="1:6" x14ac:dyDescent="0.25">
      <c r="A8" t="s">
        <v>44</v>
      </c>
      <c r="B8" s="18">
        <f>B6*B7</f>
        <v>1159026650.8742707</v>
      </c>
      <c r="C8" s="18">
        <f>C6*C7</f>
        <v>1169448452.3296695</v>
      </c>
      <c r="D8" s="18">
        <f>D6*D7</f>
        <v>1179963965.129405</v>
      </c>
      <c r="E8" s="18">
        <f>E6*E7</f>
        <v>1190574031.9124491</v>
      </c>
      <c r="F8" s="18">
        <f>F6*F7</f>
        <v>1201279502.8946612</v>
      </c>
    </row>
    <row r="9" spans="1:6" x14ac:dyDescent="0.25">
      <c r="A9" t="s">
        <v>45</v>
      </c>
      <c r="B9" s="18">
        <f>B8*(1-Assumptions!B8)</f>
        <v>952508621.1792403</v>
      </c>
      <c r="C9" s="18">
        <f>C8*(1-Assumptions!B8)</f>
        <v>961073442.1236057</v>
      </c>
      <c r="D9" s="18">
        <f>D8*(1-Assumptions!B8)</f>
        <v>969715276.7098196</v>
      </c>
      <c r="E9" s="18">
        <f>E8*(1-Assumptions!B8)</f>
        <v>978434817.4335067</v>
      </c>
      <c r="F9" s="18">
        <f>F8*(1-Assumptions!B8)</f>
        <v>987232763.017113</v>
      </c>
    </row>
    <row r="10" spans="1:6" x14ac:dyDescent="0.25">
      <c r="A10" t="s">
        <v>46</v>
      </c>
      <c r="B10" s="18">
        <f>B6*Assumptions!B9</f>
        <v>125773593.22486626</v>
      </c>
      <c r="C10" s="18">
        <f>C6*Assumptions!B9</f>
        <v>126904531.34085599</v>
      </c>
      <c r="D10" s="18">
        <f>D6*Assumptions!B9</f>
        <v>128045638.69022296</v>
      </c>
      <c r="E10" s="18">
        <f>E6*Assumptions!B9</f>
        <v>129197006.7132556</v>
      </c>
      <c r="F10" s="18">
        <f>F6*Assumptions!B9</f>
        <v>130358727.6724602</v>
      </c>
    </row>
    <row r="11" spans="1:6" x14ac:dyDescent="0.25">
      <c r="A11" t="s">
        <v>47</v>
      </c>
      <c r="B11" s="18">
        <f>-B6*Assumptions!B10</f>
        <v>-113924863.91526003</v>
      </c>
      <c r="C11" s="18">
        <f>-C6*Assumptions!B10</f>
        <v>-114949259.95625061</v>
      </c>
      <c r="D11" s="18">
        <f>-D6*Assumptions!B10</f>
        <v>-115982867.21955676</v>
      </c>
      <c r="E11" s="18">
        <f>-E6*Assumptions!B10</f>
        <v>-117025768.53116882</v>
      </c>
      <c r="F11" s="18">
        <f>-F6*Assumptions!B10</f>
        <v>-118078047.46183647</v>
      </c>
    </row>
    <row r="12" spans="1:6" x14ac:dyDescent="0.25">
      <c r="A12" t="s">
        <v>48</v>
      </c>
      <c r="B12" s="18">
        <f>-(B6-Assumptions!B29)*Assumptions!B11</f>
        <v>-14155967.555254167</v>
      </c>
      <c r="C12" s="18">
        <f>-(C6-B6)*Assumptions!B11</f>
        <v>-14283255.985730423</v>
      </c>
      <c r="D12" s="18">
        <f>-(D6-C6)*Assumptions!B11</f>
        <v>-14411688.975521922</v>
      </c>
      <c r="E12" s="18">
        <f>-(E6-D6)*Assumptions!B11</f>
        <v>-14541276.81634223</v>
      </c>
      <c r="F12" s="18">
        <f>-(F6-E6)*Assumptions!B11</f>
        <v>-14672029.892445702</v>
      </c>
    </row>
    <row r="13" spans="1:6" x14ac:dyDescent="0.25">
      <c r="A13" s="19" t="s">
        <v>49</v>
      </c>
      <c r="B13" s="20">
        <f>B9+B10+B11+B12</f>
        <v>950201382.9335923</v>
      </c>
      <c r="C13" s="20">
        <f>C9+C10+C11+C12</f>
        <v>958745457.5224807</v>
      </c>
      <c r="D13" s="20">
        <f>D9+D10+D11+D12</f>
        <v>967366359.2049638</v>
      </c>
      <c r="E13" s="20">
        <f>E9+E10+E11+E12</f>
        <v>976064778.7992513</v>
      </c>
      <c r="F13" s="20">
        <f>F9+F10+F11+F12</f>
        <v>984841413.3352911</v>
      </c>
    </row>
    <row r="14" spans="1:6" x14ac:dyDescent="0.25">
      <c r="A14" t="s">
        <v>50</v>
      </c>
      <c r="B14" s="21">
        <f>1/(1+Assumptions!$B$26)^(1-0.5*Assumptions!$B$32)</f>
        <v>0.9500445216593516</v>
      </c>
      <c r="C14" s="21">
        <f>1/(1+Assumptions!$B$26)^(2-0.5*Assumptions!$B$32)</f>
        <v>0.8574955480419907</v>
      </c>
      <c r="D14" s="21">
        <f>1/(1+Assumptions!$B$26)^(3-0.5*Assumptions!$B$32)</f>
        <v>0.7739622703445079</v>
      </c>
      <c r="E14" s="21">
        <f>1/(1+Assumptions!$B$26)^(4-0.5*Assumptions!$B$32)</f>
        <v>0.698566420880697</v>
      </c>
      <c r="F14" s="21">
        <f>1/(1+Assumptions!$B$26)^(5-0.5*Assumptions!$B$32)</f>
        <v>0.6305152887683395</v>
      </c>
    </row>
    <row r="15" spans="1:6" x14ac:dyDescent="0.25">
      <c r="A15" s="19" t="s">
        <v>51</v>
      </c>
      <c r="B15" s="20">
        <f>B13*B14</f>
        <v>902733618.3291991</v>
      </c>
      <c r="C15" s="20">
        <f>C13*C14</f>
        <v>822119961.5310087</v>
      </c>
      <c r="D15" s="20">
        <f>D13*D14</f>
        <v>748705063.6251745</v>
      </c>
      <c r="E15" s="20">
        <f>E13*E14</f>
        <v>681846079.0735022</v>
      </c>
      <c r="F15" s="20">
        <f>F13*F14</f>
        <v>620957568.1201208</v>
      </c>
    </row>
    <row r="17" spans="1:2" x14ac:dyDescent="0.25">
      <c r="A17" s="22" t="s">
        <v>52</v>
      </c>
      <c r="B17" s="23">
        <f>SUM(B15:F15)</f>
        <v>3776362290.6790047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984841413.3352911</v>
      </c>
    </row>
    <row r="5" spans="1:2" x14ac:dyDescent="0.25">
      <c r="A5" t="s">
        <v>56</v>
      </c>
      <c r="B5" s="18">
        <f>IF(Assumptions!$B$33=0,B4,B4-Forecast!F11-Forecast!F10-Forecast!F12)</f>
        <v>1050622668.7585042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0.05474189309870844</v>
      </c>
    </row>
    <row r="7" spans="1:2" x14ac:dyDescent="0.25">
      <c r="A7" t="s">
        <v>58</v>
      </c>
      <c r="B7" s="18">
        <f>-MAX(Forecast!F9,0)*B6</f>
        <v>-57513073.8202578</v>
      </c>
    </row>
    <row r="8" spans="1:2" x14ac:dyDescent="0.25">
      <c r="A8" t="s">
        <v>59</v>
      </c>
      <c r="B8" s="18">
        <f>IF(OR(Assumptions!$B$33=0,Assumptions!B12&lt;=0),B5,MAX(B5+B7,0))</f>
        <v>993109594.9382464</v>
      </c>
    </row>
    <row r="9" spans="1:2" x14ac:dyDescent="0.25">
      <c r="A9" t="s">
        <v>60</v>
      </c>
      <c r="B9" s="18">
        <f>B8*(1+Assumptions!B12)/(Assumptions!B26-Assumptions!B12)</f>
        <v>12274747269.576708</v>
      </c>
    </row>
    <row r="10" spans="1:2" x14ac:dyDescent="0.25">
      <c r="A10" t="s">
        <v>61</v>
      </c>
      <c r="B10" s="18">
        <f>B9/(1+Assumptions!B26)^(5-0.5*Assumptions!B32)</f>
        <v>7739415819.235545</v>
      </c>
    </row>
    <row r="11" spans="1:2" x14ac:dyDescent="0.25">
      <c r="A11" t="s">
        <v>62</v>
      </c>
      <c r="B11" s="18">
        <f>Forecast!B17+B10</f>
        <v>11515778109.91455</v>
      </c>
    </row>
    <row r="12" spans="1:2" x14ac:dyDescent="0.25">
      <c r="A12" t="s">
        <v>63</v>
      </c>
      <c r="B12" s="18">
        <f>-Assumptions!B30</f>
        <v>-2085284000</v>
      </c>
    </row>
    <row r="13" spans="1:2" x14ac:dyDescent="0.25">
      <c r="A13" t="s">
        <v>64</v>
      </c>
      <c r="B13" s="18">
        <f>B11+B12</f>
        <v>9430494109.91455</v>
      </c>
    </row>
    <row r="14" spans="1:2" x14ac:dyDescent="0.25">
      <c r="A14" s="19" t="s">
        <v>65</v>
      </c>
      <c r="B14" s="24">
        <f>B13/Assumptions!B31</f>
        <v>456.20294703826846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1331638230.5671215</v>
      </c>
    </row>
    <row r="18" spans="1:2" x14ac:dyDescent="0.25">
      <c r="A18" t="s">
        <v>60</v>
      </c>
      <c r="B18" s="18">
        <f>B17*Assumptions!B13</f>
        <v>26632764611.34243</v>
      </c>
    </row>
    <row r="19" spans="1:2" x14ac:dyDescent="0.25">
      <c r="A19" t="s">
        <v>61</v>
      </c>
      <c r="B19" s="18">
        <f>B18/(1+Assumptions!B26)^(5-0.5*Assumptions!B32)</f>
        <v>16792365269.619785</v>
      </c>
    </row>
    <row r="20" spans="1:2" x14ac:dyDescent="0.25">
      <c r="A20" t="s">
        <v>62</v>
      </c>
      <c r="B20" s="18">
        <f>Forecast!B17+B19</f>
        <v>20568727560.29879</v>
      </c>
    </row>
    <row r="21" spans="1:2" x14ac:dyDescent="0.25">
      <c r="A21" t="s">
        <v>63</v>
      </c>
      <c r="B21" s="18">
        <f>-Assumptions!B30</f>
        <v>-2085284000</v>
      </c>
    </row>
    <row r="22" spans="1:2" x14ac:dyDescent="0.25">
      <c r="A22" t="s">
        <v>64</v>
      </c>
      <c r="B22" s="18">
        <f>B20+B21</f>
        <v>18483443560.29879</v>
      </c>
    </row>
    <row r="23" spans="1:2" x14ac:dyDescent="0.25">
      <c r="A23" s="19" t="s">
        <v>65</v>
      </c>
      <c r="B23" s="25">
        <f>B22/Assumptions!B31</f>
        <v>894.1420592966382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1392.32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456.20294703826846</v>
      </c>
    </row>
    <row r="29" spans="1:2" x14ac:dyDescent="0.25">
      <c r="A29" s="19" t="s">
        <v>73</v>
      </c>
      <c r="B29" s="12">
        <f>B28/B26-1</f>
        <v>-0.6723433211917745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0.087929</v>
      </c>
      <c r="B5" s="31">
        <v>557.9313351654744</v>
      </c>
      <c r="C5" s="31">
        <v>589.1515706561444</v>
      </c>
      <c r="D5" s="31">
        <v>625.2724747205142</v>
      </c>
      <c r="E5" s="31">
        <v>667.5630150363537</v>
      </c>
      <c r="F5" s="31">
        <v>717.7716573553686</v>
      </c>
    </row>
    <row r="6" spans="1:6" x14ac:dyDescent="0.25">
      <c r="A6" s="30">
        <v>0.097929</v>
      </c>
      <c r="B6" s="31">
        <v>480.8261058094566</v>
      </c>
      <c r="C6" s="31">
        <v>503.4660823041048</v>
      </c>
      <c r="D6" s="31">
        <v>529.1603334609979</v>
      </c>
      <c r="E6" s="31">
        <v>558.5833005339991</v>
      </c>
      <c r="F6" s="31">
        <v>592.6237746804705</v>
      </c>
    </row>
    <row r="7" spans="1:6" x14ac:dyDescent="0.25">
      <c r="A7" s="30">
        <v>0.107929</v>
      </c>
      <c r="B7" s="31">
        <v>420.3212521626795</v>
      </c>
      <c r="C7" s="31">
        <v>437.26304854260735</v>
      </c>
      <c r="D7" s="32">
        <v>456.2054659816903</v>
      </c>
      <c r="E7" s="31">
        <v>477.53358982540124</v>
      </c>
      <c r="F7" s="31">
        <v>501.73811096583233</v>
      </c>
    </row>
    <row r="8" spans="1:6" x14ac:dyDescent="0.25">
      <c r="A8" s="30">
        <v>0.117929</v>
      </c>
      <c r="B8" s="31">
        <v>371.57757296562795</v>
      </c>
      <c r="C8" s="31">
        <v>384.5739124609565</v>
      </c>
      <c r="D8" s="31">
        <v>398.93251741378634</v>
      </c>
      <c r="E8" s="31">
        <v>414.8857796614244</v>
      </c>
      <c r="F8" s="31">
        <v>432.7221370172061</v>
      </c>
    </row>
    <row r="9" spans="1:6" x14ac:dyDescent="0.25">
      <c r="A9" s="30">
        <v>0.127929</v>
      </c>
      <c r="B9" s="31">
        <v>331.4699913322055</v>
      </c>
      <c r="C9" s="31">
        <v>341.64217120345756</v>
      </c>
      <c r="D9" s="31">
        <v>352.77117303256665</v>
      </c>
      <c r="E9" s="31">
        <v>365.0035553401739</v>
      </c>
      <c r="F9" s="31">
        <v>378.5174186888318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4026399000</v>
      </c>
      <c r="C5" s="18">
        <v>3872361000</v>
      </c>
      <c r="D5" s="18">
        <v>3788309000</v>
      </c>
      <c r="E5" s="18">
        <v>3919709000</v>
      </c>
      <c r="F5" s="8" t="s">
        <v>84</v>
      </c>
    </row>
    <row r="6" spans="1:6" x14ac:dyDescent="0.25">
      <c r="A6" t="s">
        <v>44</v>
      </c>
      <c r="B6" s="18">
        <v>1118490000</v>
      </c>
      <c r="C6" s="18">
        <v>1127054000</v>
      </c>
      <c r="D6" s="18">
        <v>1079683000</v>
      </c>
      <c r="E6" s="18">
        <v>1126220000</v>
      </c>
      <c r="F6" s="8" t="s">
        <v>85</v>
      </c>
    </row>
    <row r="7" spans="1:6" x14ac:dyDescent="0.25">
      <c r="A7" t="s">
        <v>86</v>
      </c>
      <c r="B7" s="18">
        <v>125610000</v>
      </c>
      <c r="C7" s="18">
        <v>123221000</v>
      </c>
      <c r="D7" s="18">
        <v>121164000</v>
      </c>
      <c r="E7" s="18">
        <v>113023000</v>
      </c>
      <c r="F7" s="8" t="s">
        <v>87</v>
      </c>
    </row>
    <row r="8" spans="1:6" x14ac:dyDescent="0.25">
      <c r="A8" t="s">
        <v>88</v>
      </c>
      <c r="B8" s="18">
        <v>107124000</v>
      </c>
      <c r="C8" s="18">
        <v>103898000</v>
      </c>
      <c r="D8" s="18">
        <v>105323000</v>
      </c>
      <c r="E8" s="18">
        <v>121241000</v>
      </c>
      <c r="F8" s="8" t="s">
        <v>89</v>
      </c>
    </row>
    <row r="9" spans="1:6" x14ac:dyDescent="0.25">
      <c r="A9" t="s">
        <v>90</v>
      </c>
      <c r="B9" s="18">
        <v>65329000</v>
      </c>
      <c r="C9" s="18">
        <v>9796000</v>
      </c>
      <c r="D9" s="18">
        <v>-51377000</v>
      </c>
      <c r="E9" s="18">
        <v>172636000</v>
      </c>
      <c r="F9" s="8" t="s">
        <v>91</v>
      </c>
    </row>
    <row r="10" spans="1:6" x14ac:dyDescent="0.25">
      <c r="A10" t="s">
        <v>92</v>
      </c>
      <c r="B10" s="18">
        <v>2152172000</v>
      </c>
      <c r="C10" s="18">
        <v>2013888000</v>
      </c>
      <c r="D10" s="18">
        <v>2080839000</v>
      </c>
      <c r="E10" s="18">
        <v>2014534000</v>
      </c>
      <c r="F10" s="8" t="s">
        <v>93</v>
      </c>
    </row>
    <row r="11" spans="1:6" x14ac:dyDescent="0.25">
      <c r="A11" t="s">
        <v>94</v>
      </c>
      <c r="B11" s="18">
        <v>66888000</v>
      </c>
      <c r="C11" s="18">
        <v>59362000</v>
      </c>
      <c r="D11" s="18">
        <v>69807000</v>
      </c>
      <c r="E11" s="18">
        <v>95966000</v>
      </c>
      <c r="F11" s="8" t="s">
        <v>95</v>
      </c>
    </row>
    <row r="12" spans="1:6" x14ac:dyDescent="0.25">
      <c r="A12" t="s">
        <v>32</v>
      </c>
      <c r="B12" s="34">
        <v>20671708</v>
      </c>
      <c r="C12" s="34">
        <v>21320641</v>
      </c>
      <c r="D12" s="34">
        <v>21971528</v>
      </c>
      <c r="E12" s="34">
        <v>22718290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2026-09-19T01:04:55Z</dcterms:modified>
</cp:coreProperties>
</file>