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<sst xmlns="http://schemas.openxmlformats.org/spreadsheetml/2006/main" count="114" uniqueCount="102">
  <si>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Metlen Energy &amp; Metals PLC (MTLN.L)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</si>
  <si>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</si>
  <si>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</si>
  <si>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</si>
  <si>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</si>
  <si>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</si>
  <si>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</si>
  <si>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</si>
  <si>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</si>
  <si>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</si>
  <si>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</si>
  <si>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</si>
  <si>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</si>
  <si>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</si>
  <si>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</si>
  <si>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</si>
  <si>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</si>
  <si>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</si>
  <si>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</si>
  <si>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</si>
  <si>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</si>
  <si>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</si>
  <si>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</si>
  <si>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</si>
  <si>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</si>
  <si>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</si>
  <si>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</si>
  <si>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</si>
  <si>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</si>
  <si>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</si>
  <si>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</si>
  <si>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</si>
  <si>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</si>
  <si>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</si>
  <si>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</si>
  <si>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</si>
  <si>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</si>
  <si>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</si>
  <si>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</si>
  <si>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</si>
  <si>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</si>
  <si>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</si>
  <si>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</si>
  <si>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</si>
  <si>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</si>
  <si>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</si>
  <si>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</si>
  <si>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</si>
  <si>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</si>
  <si>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</si>
  <si>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</si>
  <si>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</si>
  <si>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</si>
  <si>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</si>
  <si>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</si>
  <si>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</si>
  <si>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</si>
  <si>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</si>
  <si>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</si>
  <si>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</si>
  <si>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</si>
  <si>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</si>
  <si>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</si>
  <si>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</si>
  <si>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</si>
  <si>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</si>
  <si>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</si>
  <si>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</si>
  <si>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</si>
  <si>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</si>
  <si>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</si>
  <si>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</si>
  <si>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</si>
  <si>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</si>
  <si>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</si>
  <si>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</si>
  <si>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</si>
  <si>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</si>
  <si>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</si>
  <si>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</si>
  <si>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</si>
  <si>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</si>
  <si>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</si>
  <si>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</si>
  <si>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</si>
  <si>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</si>
  <si>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</si>
  <si>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</si>
  <si>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</si>
  <si>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</si>
  <si>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</si>
  <si>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</si>
  <si>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</si>
  <si>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</si>
  <si>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</si>
  <si>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</si>
  <si>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</si>
  <si>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</si>
  <si>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</si>
  <si>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13.6% of revenue against depreciation of 2.3%.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</si>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</sst>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0.04063844523504945</v>
      </c>
    </row>
    <row r="7" spans="1:2" x14ac:dyDescent="0.25">
      <c r="A7" t="s">
        <v>5</v>
      </c>
      <c r="B7" s="6">
        <v>0.12234265322053302</v>
      </c>
    </row>
    <row r="8" spans="1:2" x14ac:dyDescent="0.25">
      <c r="A8" t="s">
        <v>6</v>
      </c>
      <c r="B8" s="6">
        <v>0.18058428042049152</v>
      </c>
    </row>
    <row r="9" spans="1:2" x14ac:dyDescent="0.25">
      <c r="A9" t="s">
        <v>7</v>
      </c>
      <c r="B9" s="6">
        <v>0.023060443867465055</v>
      </c>
    </row>
    <row r="10" spans="1:2" x14ac:dyDescent="0.25">
      <c r="A10" t="s">
        <v>8</v>
      </c>
      <c r="B10" s="6">
        <v>0.1358023312425692</v>
      </c>
    </row>
    <row r="11" spans="1:2" x14ac:dyDescent="0.25">
      <c r="A11" t="s">
        <v>9</v>
      </c>
      <c r="B11" s="6">
        <v>0.15116991095755739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17.30754142846363</v>
      </c>
    </row>
    <row r="14" spans="1:3" x14ac:dyDescent="0.25">
      <c r="A14" t="s">
        <v>12</v>
      </c>
      <c r="B14" s="6">
        <v>0.11845883926562603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</v>
      </c>
      <c r="C19" s="8" t="s">
        <v>19</v>
      </c>
    </row>
    <row r="20" spans="1:2" x14ac:dyDescent="0.25">
      <c r="A20" t="s">
        <v>20</v>
      </c>
      <c r="B20" s="10">
        <f>B17+B19*B18</f>
        <v>0.1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6294098944</v>
      </c>
    </row>
    <row r="23" spans="1:2" x14ac:dyDescent="0.25">
      <c r="A23" t="s">
        <v>24</v>
      </c>
      <c r="B23" s="11">
        <v>5092244000</v>
      </c>
    </row>
    <row r="24" spans="1:2" x14ac:dyDescent="0.25">
      <c r="A24" t="s">
        <v>25</v>
      </c>
      <c r="B24" s="10">
        <f>B22/(B22+B23)</f>
        <v>0.55277616131496</v>
      </c>
    </row>
    <row r="25" spans="1:2" x14ac:dyDescent="0.25">
      <c r="A25" t="s">
        <v>26</v>
      </c>
      <c r="B25" s="10">
        <f>1-B24</f>
        <v>0.44722383868504</v>
      </c>
    </row>
    <row r="26" spans="1:2" x14ac:dyDescent="0.25">
      <c r="A26" t="s">
        <v>27</v>
      </c>
      <c r="B26" s="12">
        <f>B24*B20+B25*B21*(1-B8)</f>
        <v>0.07176841709301054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7106996000</v>
      </c>
      <c r="C29" s="8" t="s">
        <v>30</v>
      </c>
    </row>
    <row r="30" spans="1:2" x14ac:dyDescent="0.25">
      <c r="A30" t="s">
        <v>31</v>
      </c>
      <c r="B30" s="11">
        <v>3339244000</v>
      </c>
    </row>
    <row r="31" spans="1:2" x14ac:dyDescent="0.25">
      <c r="A31" t="s">
        <v>32</v>
      </c>
      <c r="B31" s="13">
        <v>143070064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0.04063844523504945</v>
      </c>
      <c r="C5" s="10">
        <f>Assumptions!B6</f>
        <v>0.04063844523504945</v>
      </c>
      <c r="D5" s="10">
        <f>Assumptions!B6</f>
        <v>0.04063844523504945</v>
      </c>
      <c r="E5" s="10">
        <f>Assumptions!B6</f>
        <v>0.04063844523504945</v>
      </c>
      <c r="F5" s="10">
        <f>Assumptions!B6</f>
        <v>0.04063844523504945</v>
      </c>
    </row>
    <row r="6" spans="1:6" x14ac:dyDescent="0.25">
      <c r="A6" t="s">
        <v>43</v>
      </c>
      <c r="B6" s="18">
        <f>Assumptions!B29*(1+B5)</f>
        <v>7395813267.731715</v>
      </c>
      <c r="C6" s="18">
        <f>B6*(1+C5)</f>
        <v>7696367620.181083</v>
      </c>
      <c r="D6" s="18">
        <f>C6*(1+D5)</f>
        <v>8009136034.222619</v>
      </c>
      <c r="E6" s="18">
        <f>D6*(1+E5)</f>
        <v>8334614870.329436</v>
      </c>
      <c r="F6" s="18">
        <f>E6*(1+F5)</f>
        <v>8673320660.292547</v>
      </c>
    </row>
    <row r="7" spans="1:6" x14ac:dyDescent="0.25">
      <c r="A7" t="s">
        <v>5</v>
      </c>
      <c r="B7" s="10">
        <f>Assumptions!B7</f>
        <v>0.12234265322053302</v>
      </c>
      <c r="C7" s="10">
        <f>Assumptions!B7</f>
        <v>0.12234265322053302</v>
      </c>
      <c r="D7" s="10">
        <f>Assumptions!B7</f>
        <v>0.12234265322053302</v>
      </c>
      <c r="E7" s="10">
        <f>Assumptions!B7</f>
        <v>0.12234265322053302</v>
      </c>
      <c r="F7" s="10">
        <f>Assumptions!B7</f>
        <v>0.12234265322053302</v>
      </c>
    </row>
    <row r="8" spans="1:6" x14ac:dyDescent="0.25">
      <c r="A8" t="s">
        <v>44</v>
      </c>
      <c r="B8" s="18">
        <f>B6*B7</f>
        <v>904823417.8979183</v>
      </c>
      <c r="C8" s="18">
        <f>C6*C7</f>
        <v>941594034.8135532</v>
      </c>
      <c r="D8" s="18">
        <f>D6*D7</f>
        <v>979858952.4309729</v>
      </c>
      <c r="E8" s="18">
        <f>E6*E7</f>
        <v>1019678896.807412</v>
      </c>
      <c r="F8" s="18">
        <f>F6*F7</f>
        <v>1061117061.8126556</v>
      </c>
    </row>
    <row r="9" spans="1:6" x14ac:dyDescent="0.25">
      <c r="A9" t="s">
        <v>45</v>
      </c>
      <c r="B9" s="18">
        <f>B8*(1-Assumptions!B8)</f>
        <v>741426532.069213</v>
      </c>
      <c r="C9" s="18">
        <f>C8*(1-Assumptions!B8)</f>
        <v>771556953.5885204</v>
      </c>
      <c r="D9" s="18">
        <f>D8*(1-Assumptions!B8)</f>
        <v>802911828.592649</v>
      </c>
      <c r="E9" s="18">
        <f>E8*(1-Assumptions!B8)</f>
        <v>835540916.9674848</v>
      </c>
      <c r="F9" s="18">
        <f>F8*(1-Assumptions!B8)</f>
        <v>869496000.7633109</v>
      </c>
    </row>
    <row r="10" spans="1:6" x14ac:dyDescent="0.25">
      <c r="A10" t="s">
        <v>46</v>
      </c>
      <c r="B10" s="18">
        <f>B6*Assumptions!B9</f>
        <v>170550736.7147805</v>
      </c>
      <c r="C10" s="18">
        <f>C6*Assumptions!B9</f>
        <v>177481653.48856145</v>
      </c>
      <c r="D10" s="18">
        <f>D6*Assumptions!B9</f>
        <v>184694231.94408238</v>
      </c>
      <c r="E10" s="18">
        <f>E6*Assumptions!B9</f>
        <v>192199918.3741715</v>
      </c>
      <c r="F10" s="18">
        <f>F6*Assumptions!B9</f>
        <v>200010624.23120123</v>
      </c>
    </row>
    <row r="11" spans="1:6" x14ac:dyDescent="0.25">
      <c r="A11" t="s">
        <v>47</v>
      </c>
      <c r="B11" s="18">
        <f>-B6*Assumptions!B10</f>
        <v>-1004368683.1926906</v>
      </c>
      <c r="C11" s="18">
        <f>-C6*Assumptions!B10</f>
        <v>-1045184664.9204155</v>
      </c>
      <c r="D11" s="18">
        <f>-D6*Assumptions!B10</f>
        <v>-1087659344.6862972</v>
      </c>
      <c r="E11" s="18">
        <f>-E6*Assumptions!B10</f>
        <v>-1131860129.3997211</v>
      </c>
      <c r="F11" s="18">
        <f>-F6*Assumptions!B10</f>
        <v>-1177857165.2820675</v>
      </c>
    </row>
    <row r="12" spans="1:6" x14ac:dyDescent="0.25">
      <c r="A12" t="s">
        <v>48</v>
      </c>
      <c r="B12" s="18">
        <f>-(B6-Assumptions!B29)*Assumptions!B11</f>
        <v>-43660480.6460084</v>
      </c>
      <c r="C12" s="18">
        <f>-(C6-B6)*Assumptions!B11</f>
        <v>-45434774.69767721</v>
      </c>
      <c r="D12" s="18">
        <f>-(D6-C6)*Assumptions!B11</f>
        <v>-47281173.30099549</v>
      </c>
      <c r="E12" s="18">
        <f>-(E6-D6)*Assumptions!B11</f>
        <v>-49202606.672836974</v>
      </c>
      <c r="F12" s="18">
        <f>-(F6-E6)*Assumptions!B11</f>
        <v>-51202124.10953261</v>
      </c>
    </row>
    <row r="13" spans="1:6" x14ac:dyDescent="0.25">
      <c r="A13" s="19" t="s">
        <v>49</v>
      </c>
      <c r="B13" s="20">
        <f>B9+B10+B11+B12</f>
        <v>-136051895.05470553</v>
      </c>
      <c r="C13" s="20">
        <f>C9+C10+C11+C12</f>
        <v>-141580832.5410108</v>
      </c>
      <c r="D13" s="20">
        <f>D9+D10+D11+D12</f>
        <v>-147334457.4505613</v>
      </c>
      <c r="E13" s="20">
        <f>E9+E10+E11+E12</f>
        <v>-153321900.73090178</v>
      </c>
      <c r="F13" s="20">
        <f>F9+F10+F11+F12</f>
        <v>-159552664.39708805</v>
      </c>
    </row>
    <row r="14" spans="1:6" x14ac:dyDescent="0.25">
      <c r="A14" t="s">
        <v>50</v>
      </c>
      <c r="B14" s="21">
        <f>1/(1+Assumptions!$B$26)^(1-0.5*Assumptions!$B$32)</f>
        <v>0.9659386025369191</v>
      </c>
      <c r="C14" s="21">
        <f>1/(1+Assumptions!$B$26)^(2-0.5*Assumptions!$B$32)</f>
        <v>0.9012568266910339</v>
      </c>
      <c r="D14" s="21">
        <f>1/(1+Assumptions!$B$26)^(3-0.5*Assumptions!$B$32)</f>
        <v>0.8409063117716601</v>
      </c>
      <c r="E14" s="21">
        <f>1/(1+Assumptions!$B$26)^(4-0.5*Assumptions!$B$32)</f>
        <v>0.7845970252160214</v>
      </c>
      <c r="F14" s="21">
        <f>1/(1+Assumptions!$B$26)^(5-0.5*Assumptions!$B$32)</f>
        <v>0.7320583558005069</v>
      </c>
    </row>
    <row r="15" spans="1:6" x14ac:dyDescent="0.25">
      <c r="A15" s="19" t="s">
        <v>51</v>
      </c>
      <c r="B15" s="20">
        <f>B13*B14</f>
        <v>-131417777.38164183</v>
      </c>
      <c r="C15" s="20">
        <f>C13*C14</f>
        <v>-127600691.85618606</v>
      </c>
      <c r="D15" s="20">
        <f>D13*D14</f>
        <v>-123894475.2116301</v>
      </c>
      <c r="E15" s="20">
        <f>E13*E14</f>
        <v>-120295907.21393166</v>
      </c>
      <c r="F15" s="20">
        <f>F13*F14</f>
        <v>-116801861.16212235</v>
      </c>
    </row>
    <row r="17" spans="1:2" x14ac:dyDescent="0.25">
      <c r="A17" s="22" t="s">
        <v>52</v>
      </c>
      <c r="B17" s="23">
        <f>SUM(B15:F15)</f>
        <v>-620010712.825512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-159552664.39708805</v>
      </c>
    </row>
    <row r="5" spans="1:2" x14ac:dyDescent="0.25">
      <c r="A5" t="s">
        <v>56</v>
      </c>
      <c r="B5" s="18">
        <f>IF(Assumptions!$B$33=0,B4,B4-Forecast!F11-Forecast!F10-Forecast!F12)</f>
        <v>905051463.2047763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0.21104376975990186</v>
      </c>
    </row>
    <row r="7" spans="1:2" x14ac:dyDescent="0.25">
      <c r="A7" t="s">
        <v>58</v>
      </c>
      <c r="B7" s="18">
        <f>-MAX(Forecast!F9,0)*B6</f>
        <v>-191005472.62145108</v>
      </c>
    </row>
    <row r="8" spans="1:2" x14ac:dyDescent="0.25">
      <c r="A8" t="s">
        <v>59</v>
      </c>
      <c r="B8" s="18">
        <f>IF(OR(Assumptions!$B$33=0,Assumptions!B12&lt;=0),B5,MAX(B5+B7,0))</f>
        <v>714045990.5833251</v>
      </c>
    </row>
    <row r="9" spans="1:2" x14ac:dyDescent="0.25">
      <c r="A9" t="s">
        <v>60</v>
      </c>
      <c r="B9" s="18">
        <f>B8*(1+Assumptions!B12)/(Assumptions!B26-Assumptions!B12)</f>
        <v>15649388750.796293</v>
      </c>
    </row>
    <row r="10" spans="1:2" x14ac:dyDescent="0.25">
      <c r="A10" t="s">
        <v>61</v>
      </c>
      <c r="B10" s="18">
        <f>B9/(1+Assumptions!B26)^(5-0.5*Assumptions!B32)</f>
        <v>11456265798.190884</v>
      </c>
    </row>
    <row r="11" spans="1:2" x14ac:dyDescent="0.25">
      <c r="A11" t="s">
        <v>62</v>
      </c>
      <c r="B11" s="18">
        <f>Forecast!B17+B10</f>
        <v>10836255085.365372</v>
      </c>
    </row>
    <row r="12" spans="1:2" x14ac:dyDescent="0.25">
      <c r="A12" t="s">
        <v>63</v>
      </c>
      <c r="B12" s="18">
        <f>-Assumptions!B30</f>
        <v>-3339244000</v>
      </c>
    </row>
    <row r="13" spans="1:2" x14ac:dyDescent="0.25">
      <c r="A13" t="s">
        <v>64</v>
      </c>
      <c r="B13" s="18">
        <f>B11+B12</f>
        <v>7497011085.365372</v>
      </c>
    </row>
    <row r="14" spans="1:2" x14ac:dyDescent="0.25">
      <c r="A14" s="19" t="s">
        <v>65</v>
      </c>
      <c r="B14" s="24">
        <f>B13/Assumptions!B31</f>
        <v>52.400976666686695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1261127686.0438569</v>
      </c>
    </row>
    <row r="18" spans="1:2" x14ac:dyDescent="0.25">
      <c r="A18" t="s">
        <v>60</v>
      </c>
      <c r="B18" s="18">
        <f>B17*Assumptions!B13</f>
        <v>21827019672.786526</v>
      </c>
    </row>
    <row r="19" spans="1:2" x14ac:dyDescent="0.25">
      <c r="A19" t="s">
        <v>61</v>
      </c>
      <c r="B19" s="18">
        <f>B18/(1+Assumptions!B26)^(5-0.5*Assumptions!B32)</f>
        <v>15978652133.685423</v>
      </c>
    </row>
    <row r="20" spans="1:2" x14ac:dyDescent="0.25">
      <c r="A20" t="s">
        <v>62</v>
      </c>
      <c r="B20" s="18">
        <f>Forecast!B17+B19</f>
        <v>15358641420.859911</v>
      </c>
    </row>
    <row r="21" spans="1:2" x14ac:dyDescent="0.25">
      <c r="A21" t="s">
        <v>63</v>
      </c>
      <c r="B21" s="18">
        <f>-Assumptions!B30</f>
        <v>-3339244000</v>
      </c>
    </row>
    <row r="22" spans="1:2" x14ac:dyDescent="0.25">
      <c r="A22" t="s">
        <v>64</v>
      </c>
      <c r="B22" s="18">
        <f>B20+B21</f>
        <v>12019397420.859911</v>
      </c>
    </row>
    <row r="23" spans="1:2" x14ac:dyDescent="0.25">
      <c r="A23" s="19" t="s">
        <v>65</v>
      </c>
      <c r="B23" s="25">
        <f>B22/Assumptions!B31</f>
        <v>84.01056856212709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44.22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52.400976666686695</v>
      </c>
    </row>
    <row r="29" spans="1:2" x14ac:dyDescent="0.25">
      <c r="A29" s="19" t="s">
        <v>73</v>
      </c>
      <c r="B29" s="12">
        <f>B28/B26-1</f>
        <v>0.1850062565962618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0.051768</v>
      </c>
      <c r="B5" s="31">
        <v>93.65019266594943</v>
      </c>
      <c r="C5" s="31">
        <v>106.63949842088341</v>
      </c>
      <c r="D5" s="31">
        <v>124.40187168013061</v>
      </c>
      <c r="E5" s="31">
        <v>150.22636116496548</v>
      </c>
      <c r="F5" s="31">
        <v>191.32502218215168</v>
      </c>
    </row>
    <row r="6" spans="1:6" x14ac:dyDescent="0.25">
      <c r="A6" s="30">
        <v>0.061768</v>
      </c>
      <c r="B6" s="31">
        <v>63.78633903532353</v>
      </c>
      <c r="C6" s="31">
        <v>70.27289048380538</v>
      </c>
      <c r="D6" s="31">
        <v>78.4681730295118</v>
      </c>
      <c r="E6" s="31">
        <v>89.17900379843037</v>
      </c>
      <c r="F6" s="31">
        <v>103.81502203698143</v>
      </c>
    </row>
    <row r="7" spans="1:6" x14ac:dyDescent="0.25">
      <c r="A7" s="30">
        <v>0.071768</v>
      </c>
      <c r="B7" s="31">
        <v>44.64231685605501</v>
      </c>
      <c r="C7" s="31">
        <v>48.16622580117942</v>
      </c>
      <c r="D7" s="32">
        <v>52.40182691244471</v>
      </c>
      <c r="E7" s="31">
        <v>57.60470778064088</v>
      </c>
      <c r="F7" s="31">
        <v>64.1694831891111</v>
      </c>
    </row>
    <row r="8" spans="1:6" x14ac:dyDescent="0.25">
      <c r="A8" s="30">
        <v>0.081768</v>
      </c>
      <c r="B8" s="31">
        <v>31.39154944158595</v>
      </c>
      <c r="C8" s="31">
        <v>33.383210192761744</v>
      </c>
      <c r="D8" s="31">
        <v>35.692689846726644</v>
      </c>
      <c r="E8" s="31">
        <v>38.41207779348681</v>
      </c>
      <c r="F8" s="31">
        <v>41.67284479065275</v>
      </c>
    </row>
    <row r="9" spans="1:6" x14ac:dyDescent="0.25">
      <c r="A9" s="30">
        <v>0.091768</v>
      </c>
      <c r="B9" s="31">
        <v>21.722936655506725</v>
      </c>
      <c r="C9" s="31">
        <v>22.85410878151982</v>
      </c>
      <c r="D9" s="31">
        <v>24.127760795337856</v>
      </c>
      <c r="E9" s="31">
        <v>25.578493110072426</v>
      </c>
      <c r="F9" s="31">
        <v>27.253096250557007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7106996000</v>
      </c>
      <c r="C5" s="18">
        <v>5682956000</v>
      </c>
      <c r="D5" s="18">
        <v>5491685000</v>
      </c>
      <c r="E5" s="18">
        <v>6306472000</v>
      </c>
      <c r="F5" s="8" t="s">
        <v>84</v>
      </c>
    </row>
    <row r="6" spans="1:6" x14ac:dyDescent="0.25">
      <c r="A6" t="s">
        <v>44</v>
      </c>
      <c r="B6" s="18">
        <v>362416000</v>
      </c>
      <c r="C6" s="18">
        <v>884139000</v>
      </c>
      <c r="D6" s="18">
        <v>905268000</v>
      </c>
      <c r="E6" s="18">
        <v>743884000</v>
      </c>
      <c r="F6" s="8" t="s">
        <v>85</v>
      </c>
    </row>
    <row r="7" spans="1:6" x14ac:dyDescent="0.25">
      <c r="A7" t="s">
        <v>86</v>
      </c>
      <c r="B7" s="18">
        <v>194182000</v>
      </c>
      <c r="C7" s="18">
        <v>165628000</v>
      </c>
      <c r="D7" s="18">
        <v>116174000</v>
      </c>
      <c r="E7" s="18">
        <v>92200000</v>
      </c>
      <c r="F7" s="8" t="s">
        <v>87</v>
      </c>
    </row>
    <row r="8" spans="1:6" x14ac:dyDescent="0.25">
      <c r="A8" t="s">
        <v>88</v>
      </c>
      <c r="B8" s="18">
        <v>687549000</v>
      </c>
      <c r="C8" s="18">
        <v>801257000</v>
      </c>
      <c r="D8" s="18">
        <v>1054327000</v>
      </c>
      <c r="E8" s="18">
        <v>715707000</v>
      </c>
      <c r="F8" s="8" t="s">
        <v>89</v>
      </c>
    </row>
    <row r="9" spans="1:6" x14ac:dyDescent="0.25">
      <c r="A9" t="s">
        <v>90</v>
      </c>
      <c r="B9" s="18">
        <v>215272000</v>
      </c>
      <c r="C9" s="18">
        <v>413614000</v>
      </c>
      <c r="D9" s="18">
        <v>630781000</v>
      </c>
      <c r="E9" s="18">
        <v>-104778000</v>
      </c>
      <c r="F9" s="8" t="s">
        <v>91</v>
      </c>
    </row>
    <row r="10" spans="1:6" x14ac:dyDescent="0.25">
      <c r="A10" t="s">
        <v>92</v>
      </c>
      <c r="B10" s="18">
        <v>5092244000</v>
      </c>
      <c r="C10" s="18">
        <v>4261676000</v>
      </c>
      <c r="D10" s="18">
        <v>3111996000</v>
      </c>
      <c r="E10" s="18">
        <v>1956360000</v>
      </c>
      <c r="F10" s="8" t="s">
        <v>93</v>
      </c>
    </row>
    <row r="11" spans="1:6" x14ac:dyDescent="0.25">
      <c r="A11" t="s">
        <v>94</v>
      </c>
      <c r="B11" s="18">
        <v>1753000000</v>
      </c>
      <c r="C11" s="18">
        <v>1405215000</v>
      </c>
      <c r="D11" s="18">
        <v>933474000</v>
      </c>
      <c r="E11" s="18">
        <v>1051759000</v>
      </c>
      <c r="F11" s="8" t="s">
        <v>95</v>
      </c>
    </row>
    <row r="12" spans="1:6" x14ac:dyDescent="0.25">
      <c r="A12" t="s">
        <v>32</v>
      </c>
      <c r="B12" s="34">
        <v>143070064</v>
      </c>
      <c r="C12" s="34">
        <v>129024224</v>
      </c>
      <c r="D12" s="34">
        <v>129024224</v>
      </c>
      <c r="E12" s="34">
        <v>129024224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2026-09-19T00:08:18Z</dcterms:modified>
</cp:coreProperties>
</file>