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<sst xmlns="http://schemas.openxmlformats.org/spreadsheetml/2006/main" count="121" uniqueCount="104">
  <si>
    <t>Metcash Limited (MTS.AX)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</si>
  <si>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</si>
  <si>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</si>
  <si>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</si>
  <si>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</si>
  <si>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</si>
  <si>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</si>
  <si>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</si>
  <si>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</si>
  <si>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</si>
  <si>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</si>
  <si>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</si>
  <si>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</si>
  <si>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</si>
  <si>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</si>
  <si>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</si>
  <si>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</si>
  <si>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</si>
  <si>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</si>
  <si>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</si>
  <si>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</si>
  <si>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</si>
  <si>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</si>
  <si>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</si>
  <si>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</si>
  <si>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</si>
  <si>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</si>
  <si>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</si>
  <si>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</si>
  <si>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</si>
  <si>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2026-04-30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</si>
  <si>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</si>
  <si>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</si>
  <si>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</si>
  <si>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</si>
  <si>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</si>
  <si>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</si>
  <si>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</si>
  <si>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</si>
  <si>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</si>
  <si>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</si>
  <si>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</si>
  <si>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</si>
  <si>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</si>
  <si>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</si>
  <si>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</si>
  <si>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</si>
  <si>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</si>
  <si>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</si>
  <si>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</si>
  <si>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</si>
  <si>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</si>
  <si>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</si>
  <si>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</si>
  <si>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</si>
  <si>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</si>
  <si>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</si>
  <si>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</si>
  <si>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</si>
  <si>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</si>
  <si>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</si>
  <si>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</si>
  <si>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</si>
  <si>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</si>
  <si>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</si>
  <si>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</si>
  <si>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</si>
  <si>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</si>
  <si>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</si>
  <si>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</si>
  <si>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</si>
  <si>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</si>
  <si>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</si>
  <si>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</si>
  <si>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</si>
  <si>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</si>
  <si>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</si>
  <si>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</si>
  <si>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</si>
  <si>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</si>
  <si>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2026-04-30</t>
  </si>
  <si>
    <t>2025-04-30</t>
  </si>
  <si>
    <t>2024-04-30</t>
  </si>
  <si>
    <t>2023-04-30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</si>
  <si>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</si>
  <si>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</si>
  <si>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</si>
  <si>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</si>
  <si>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</si>
  <si>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</si>
  <si>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</si>
  <si>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</si>
  <si>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</si>
  <si>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</si>
  <si>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</si>
  <si>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</si>
  <si>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</si>
  <si>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</si>
  <si>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</si>
  <si>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</si>
  <si>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</si>
  <si>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Reported capital expenditure averages just 0.92% of revenue, which is too low to be the company's real investment - property trusts and similar structures invest through lines that are not reported as capex. Capex has been set to 1.30%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</si>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</sst>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0.031691106523793255</v>
      </c>
    </row>
    <row r="7" spans="1:2" x14ac:dyDescent="0.25">
      <c r="A7" t="s">
        <v>5</v>
      </c>
      <c r="B7" s="6">
        <v>0.02986923242103609</v>
      </c>
    </row>
    <row r="8" spans="1:2" x14ac:dyDescent="0.25">
      <c r="A8" t="s">
        <v>6</v>
      </c>
      <c r="B8" s="6">
        <v>0.28822946284484746</v>
      </c>
    </row>
    <row r="9" spans="1:2" x14ac:dyDescent="0.25">
      <c r="A9" t="s">
        <v>7</v>
      </c>
      <c r="B9" s="6">
        <v>0.012965232705317726</v>
      </c>
    </row>
    <row r="10" spans="1:2" x14ac:dyDescent="0.25">
      <c r="A10" t="s">
        <v>8</v>
      </c>
      <c r="B10" s="6">
        <v>0.012965232705317726</v>
      </c>
    </row>
    <row r="11" spans="1:2" x14ac:dyDescent="0.25">
      <c r="A11" t="s">
        <v>9</v>
      </c>
      <c r="B11" s="6">
        <v>-0.8623853211009175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0.1689809396471182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0.61006</v>
      </c>
      <c r="C19" s="8" t="s">
        <v>19</v>
      </c>
    </row>
    <row r="20" spans="1:2" x14ac:dyDescent="0.25">
      <c r="A20" t="s">
        <v>20</v>
      </c>
      <c r="B20" s="10">
        <f>B17+B19*B18</f>
        <v>0.0900836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1901000000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0.03806548832705756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17354000000</v>
      </c>
      <c r="C29" s="8" t="s">
        <v>30</v>
      </c>
    </row>
    <row r="30" spans="1:2" x14ac:dyDescent="0.25">
      <c r="A30" t="s">
        <v>31</v>
      </c>
      <c r="B30" s="11">
        <v>1833100000</v>
      </c>
    </row>
    <row r="31" spans="1:2" x14ac:dyDescent="0.25">
      <c r="A31" t="s">
        <v>32</v>
      </c>
      <c r="B31" s="13">
        <v>1103162055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0.031691106523793255</v>
      </c>
      <c r="C5" s="10">
        <f>Assumptions!B6</f>
        <v>0.031691106523793255</v>
      </c>
      <c r="D5" s="10">
        <f>Assumptions!B6</f>
        <v>0.031691106523793255</v>
      </c>
      <c r="E5" s="10">
        <f>Assumptions!B6</f>
        <v>0.031691106523793255</v>
      </c>
      <c r="F5" s="10">
        <f>Assumptions!B6</f>
        <v>0.031691106523793255</v>
      </c>
    </row>
    <row r="6" spans="1:6" x14ac:dyDescent="0.25">
      <c r="A6" t="s">
        <v>43</v>
      </c>
      <c r="B6" s="18">
        <f>Assumptions!B29*(1+B5)</f>
        <v>17903967462.613907</v>
      </c>
      <c r="C6" s="18">
        <f>B6*(1+C5)</f>
        <v>18471364002.67013</v>
      </c>
      <c r="D6" s="18">
        <f>C6*(1+D5)</f>
        <v>19056741966.91851</v>
      </c>
      <c r="E6" s="18">
        <f>D6*(1+E5)</f>
        <v>19660671206.588566</v>
      </c>
      <c r="F6" s="18">
        <f>E6*(1+F5)</f>
        <v>20283739632.12584</v>
      </c>
    </row>
    <row r="7" spans="1:6" x14ac:dyDescent="0.25">
      <c r="A7" t="s">
        <v>5</v>
      </c>
      <c r="B7" s="10">
        <f>Assumptions!B7</f>
        <v>0.02986923242103609</v>
      </c>
      <c r="C7" s="10">
        <f>Assumptions!B7</f>
        <v>0.02986923242103609</v>
      </c>
      <c r="D7" s="10">
        <f>Assumptions!B7</f>
        <v>0.02986923242103609</v>
      </c>
      <c r="E7" s="10">
        <f>Assumptions!B7</f>
        <v>0.02986923242103609</v>
      </c>
      <c r="F7" s="10">
        <f>Assumptions!B7</f>
        <v>0.02986923242103609</v>
      </c>
    </row>
    <row r="8" spans="1:6" x14ac:dyDescent="0.25">
      <c r="A8" t="s">
        <v>44</v>
      </c>
      <c r="B8" s="18">
        <f>B6*B7</f>
        <v>534777765.39948255</v>
      </c>
      <c r="C8" s="18">
        <f>C6*C7</f>
        <v>551725464.5293137</v>
      </c>
      <c r="D8" s="18">
        <f>D6*D7</f>
        <v>569210254.9976014</v>
      </c>
      <c r="E8" s="18">
        <f>E6*E7</f>
        <v>587249157.8231659</v>
      </c>
      <c r="F8" s="18">
        <f>F6*F7</f>
        <v>605859733.4397478</v>
      </c>
    </row>
    <row r="9" spans="1:6" x14ac:dyDescent="0.25">
      <c r="A9" t="s">
        <v>45</v>
      </c>
      <c r="B9" s="18">
        <f>B8*(1-Assumptions!B8)</f>
        <v>380639057.3370219</v>
      </c>
      <c r="C9" s="18">
        <f>C8*(1-Assumptions!B8)</f>
        <v>392701930.2502057</v>
      </c>
      <c r="D9" s="18">
        <f>D8*(1-Assumptions!B8)</f>
        <v>405147088.9538641</v>
      </c>
      <c r="E9" s="18">
        <f>E8*(1-Assumptions!B8)</f>
        <v>417986648.50770575</v>
      </c>
      <c r="F9" s="18">
        <f>F8*(1-Assumptions!B8)</f>
        <v>431233107.91108686</v>
      </c>
    </row>
    <row r="10" spans="1:6" x14ac:dyDescent="0.25">
      <c r="A10" t="s">
        <v>46</v>
      </c>
      <c r="B10" s="18">
        <f>B6*Assumptions!B9</f>
        <v>232129104.50122625</v>
      </c>
      <c r="C10" s="18">
        <f>C6*Assumptions!B9</f>
        <v>239485532.67924735</v>
      </c>
      <c r="D10" s="18">
        <f>D6*Assumptions!B9</f>
        <v>247075094.20629272</v>
      </c>
      <c r="E10" s="18">
        <f>E6*Assumptions!B9</f>
        <v>254905177.3361606</v>
      </c>
      <c r="F10" s="18">
        <f>F6*Assumptions!B9</f>
        <v>262983404.46458727</v>
      </c>
    </row>
    <row r="11" spans="1:6" x14ac:dyDescent="0.25">
      <c r="A11" t="s">
        <v>47</v>
      </c>
      <c r="B11" s="18">
        <f>-B6*Assumptions!B10</f>
        <v>-232129104.50122625</v>
      </c>
      <c r="C11" s="18">
        <f>-C6*Assumptions!B10</f>
        <v>-239485532.67924735</v>
      </c>
      <c r="D11" s="18">
        <f>-D6*Assumptions!B10</f>
        <v>-247075094.20629272</v>
      </c>
      <c r="E11" s="18">
        <f>-E6*Assumptions!B10</f>
        <v>-254905177.3361606</v>
      </c>
      <c r="F11" s="18">
        <f>-F6*Assumptions!B10</f>
        <v>-262983404.46458727</v>
      </c>
    </row>
    <row r="12" spans="1:6" x14ac:dyDescent="0.25">
      <c r="A12" t="s">
        <v>48</v>
      </c>
      <c r="B12" s="18">
        <f>-(B6-Assumptions!B29)*Assumptions!B11</f>
        <v>474283866.8413509</v>
      </c>
      <c r="C12" s="18">
        <f>-(C6-B6)*Assumptions!B11</f>
        <v>489314447.387937</v>
      </c>
      <c r="D12" s="18">
        <f>-(D6-C6)*Assumptions!B11</f>
        <v>504821363.6637395</v>
      </c>
      <c r="E12" s="18">
        <f>-(E6-D6)*Assumptions!B11</f>
        <v>520819711.2750937</v>
      </c>
      <c r="F12" s="18">
        <f>-(F6-E6)*Assumptions!B11</f>
        <v>537325064.2248046</v>
      </c>
    </row>
    <row r="13" spans="1:6" x14ac:dyDescent="0.25">
      <c r="A13" s="19" t="s">
        <v>49</v>
      </c>
      <c r="B13" s="20">
        <f>B9+B10+B11+B12</f>
        <v>854922924.1783729</v>
      </c>
      <c r="C13" s="20">
        <f>C9+C10+C11+C12</f>
        <v>882016377.6381426</v>
      </c>
      <c r="D13" s="20">
        <f>D9+D10+D11+D12</f>
        <v>909968452.6176035</v>
      </c>
      <c r="E13" s="20">
        <f>E9+E10+E11+E12</f>
        <v>938806359.7827995</v>
      </c>
      <c r="F13" s="20">
        <f>F9+F10+F11+F12</f>
        <v>968558172.1358914</v>
      </c>
    </row>
    <row r="14" spans="1:6" x14ac:dyDescent="0.25">
      <c r="A14" t="s">
        <v>50</v>
      </c>
      <c r="B14" s="21">
        <f>1/(1+Assumptions!$B$26)^(1-0.5*Assumptions!$B$32)</f>
        <v>0.9814939426442513</v>
      </c>
      <c r="C14" s="21">
        <f>1/(1+Assumptions!$B$26)^(2-0.5*Assumptions!$B$32)</f>
        <v>0.9455029125628897</v>
      </c>
      <c r="D14" s="21">
        <f>1/(1+Assumptions!$B$26)^(3-0.5*Assumptions!$B$32)</f>
        <v>0.910831660617731</v>
      </c>
      <c r="E14" s="21">
        <f>1/(1+Assumptions!$B$26)^(4-0.5*Assumptions!$B$32)</f>
        <v>0.8774317910189116</v>
      </c>
      <c r="F14" s="21">
        <f>1/(1+Assumptions!$B$26)^(5-0.5*Assumptions!$B$32)</f>
        <v>0.8452566826327859</v>
      </c>
    </row>
    <row r="15" spans="1:6" x14ac:dyDescent="0.25">
      <c r="A15" s="19" t="s">
        <v>51</v>
      </c>
      <c r="B15" s="20">
        <f>B13*B14</f>
        <v>839101671.5087835</v>
      </c>
      <c r="C15" s="20">
        <f>C13*C14</f>
        <v>833949053.9850334</v>
      </c>
      <c r="D15" s="20">
        <f>D13*D14</f>
        <v>828828076.807439</v>
      </c>
      <c r="E15" s="20">
        <f>E13*E14</f>
        <v>823738545.6841664</v>
      </c>
      <c r="F15" s="20">
        <f>F13*F14</f>
        <v>818680267.5164584</v>
      </c>
    </row>
    <row r="17" spans="1:2" x14ac:dyDescent="0.25">
      <c r="A17" s="22" t="s">
        <v>52</v>
      </c>
      <c r="B17" s="23">
        <f>SUM(B15:F15)</f>
        <v>4144297615.5018806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968558172.1358914</v>
      </c>
    </row>
    <row r="5" spans="1:2" x14ac:dyDescent="0.25">
      <c r="A5" t="s">
        <v>56</v>
      </c>
      <c r="B5" s="18">
        <f>IF(Assumptions!$B$33=0,B4,B4-Forecast!F11-Forecast!F10-Forecast!F12)</f>
        <v>431233107.91108686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0.14794567986310966</v>
      </c>
    </row>
    <row r="7" spans="1:2" x14ac:dyDescent="0.25">
      <c r="A7" t="s">
        <v>58</v>
      </c>
      <c r="B7" s="18">
        <f>-MAX(Forecast!F9,0)*B6</f>
        <v>-63799075.32938748</v>
      </c>
    </row>
    <row r="8" spans="1:2" x14ac:dyDescent="0.25">
      <c r="A8" t="s">
        <v>59</v>
      </c>
      <c r="B8" s="18">
        <f>IF(OR(Assumptions!$B$33=0,Assumptions!B12&lt;=0),B5,MAX(B5+B7,0))</f>
        <v>367434032.5816994</v>
      </c>
    </row>
    <row r="9" spans="1:2" x14ac:dyDescent="0.25">
      <c r="A9" t="s">
        <v>60</v>
      </c>
      <c r="B9" s="18">
        <f>B8*(1+Assumptions!B12)/(Assumptions!B26-Assumptions!B12)</f>
        <v>28825549720.655502</v>
      </c>
    </row>
    <row r="10" spans="1:2" x14ac:dyDescent="0.25">
      <c r="A10" t="s">
        <v>61</v>
      </c>
      <c r="B10" s="18">
        <f>B9/(1+Assumptions!B26)^(5-0.5*Assumptions!B32)</f>
        <v>24364988531.947697</v>
      </c>
    </row>
    <row r="11" spans="1:2" x14ac:dyDescent="0.25">
      <c r="A11" t="s">
        <v>62</v>
      </c>
      <c r="B11" s="18">
        <f>Forecast!B17+B10</f>
        <v>28509286147.449577</v>
      </c>
    </row>
    <row r="12" spans="1:2" x14ac:dyDescent="0.25">
      <c r="A12" t="s">
        <v>63</v>
      </c>
      <c r="B12" s="18">
        <f>-Assumptions!B30</f>
        <v>-1833100000</v>
      </c>
    </row>
    <row r="13" spans="1:2" x14ac:dyDescent="0.25">
      <c r="A13" t="s">
        <v>64</v>
      </c>
      <c r="B13" s="18">
        <f>B11+B12</f>
        <v>26676186147.449577</v>
      </c>
    </row>
    <row r="14" spans="1:2" x14ac:dyDescent="0.25">
      <c r="A14" s="19" t="s">
        <v>65</v>
      </c>
      <c r="B14" s="24">
        <f>B13/Assumptions!B31</f>
        <v>24.181566095880243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868843137.904335</v>
      </c>
    </row>
    <row r="18" spans="1:2" x14ac:dyDescent="0.25">
      <c r="A18" t="s">
        <v>60</v>
      </c>
      <c r="B18" s="18">
        <f>B17*Assumptions!B13</f>
        <v>6950745103.23468</v>
      </c>
    </row>
    <row r="19" spans="1:2" x14ac:dyDescent="0.25">
      <c r="A19" t="s">
        <v>61</v>
      </c>
      <c r="B19" s="18">
        <f>B18/(1+Assumptions!B26)^(5-0.5*Assumptions!B32)</f>
        <v>5875163747.786226</v>
      </c>
    </row>
    <row r="20" spans="1:2" x14ac:dyDescent="0.25">
      <c r="A20" t="s">
        <v>62</v>
      </c>
      <c r="B20" s="18">
        <f>Forecast!B17+B19</f>
        <v>10019461363.288107</v>
      </c>
    </row>
    <row r="21" spans="1:2" x14ac:dyDescent="0.25">
      <c r="A21" t="s">
        <v>63</v>
      </c>
      <c r="B21" s="18">
        <f>-Assumptions!B30</f>
        <v>-1833100000</v>
      </c>
    </row>
    <row r="22" spans="1:2" x14ac:dyDescent="0.25">
      <c r="A22" t="s">
        <v>64</v>
      </c>
      <c r="B22" s="18">
        <f>B20+B21</f>
        <v>8186361363.288107</v>
      </c>
    </row>
    <row r="23" spans="1:2" x14ac:dyDescent="0.25">
      <c r="A23" s="19" t="s">
        <v>65</v>
      </c>
      <c r="B23" s="25">
        <f>B22/Assumptions!B31</f>
        <v>7.420814853252097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2.82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24.181566095880243</v>
      </c>
    </row>
    <row r="29" spans="1:2" x14ac:dyDescent="0.25">
      <c r="A29" s="19" t="s">
        <v>73</v>
      </c>
      <c r="B29" s="12">
        <f>B28/B26-1</f>
        <v>7.575023438255405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0.018065</v>
      </c>
      <c r="B5" s="31">
        <v>111.11264400859129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0.028065</v>
      </c>
      <c r="B6" s="31">
        <v>26.619391444999913</v>
      </c>
      <c r="C6" s="31">
        <v>40.67000057833572</v>
      </c>
      <c r="D6" s="31">
        <v>100.5294093656311</v>
      </c>
      <c r="E6" s="31" t="s">
        <v>76</v>
      </c>
      <c r="F6" s="31" t="s">
        <v>76</v>
      </c>
    </row>
    <row r="7" spans="1:6" x14ac:dyDescent="0.25">
      <c r="A7" s="30">
        <v>0.038065</v>
      </c>
      <c r="B7" s="31">
        <v>15.344712599234441</v>
      </c>
      <c r="C7" s="31">
        <v>18.543237708594067</v>
      </c>
      <c r="D7" s="32">
        <v>24.182442770038055</v>
      </c>
      <c r="E7" s="31">
        <v>36.801720130902474</v>
      </c>
      <c r="F7" s="31">
        <v>90.56129311624663</v>
      </c>
    </row>
    <row r="8" spans="1:6" x14ac:dyDescent="0.25">
      <c r="A8" s="30">
        <v>0.048065</v>
      </c>
      <c r="B8" s="31">
        <v>10.859097052929744</v>
      </c>
      <c r="C8" s="31">
        <v>12.147242300426758</v>
      </c>
      <c r="D8" s="31">
        <v>13.989812572466718</v>
      </c>
      <c r="E8" s="31">
        <v>16.847166317327744</v>
      </c>
      <c r="F8" s="31">
        <v>21.88438214904091</v>
      </c>
    </row>
    <row r="9" spans="1:6" x14ac:dyDescent="0.25">
      <c r="A9" s="30">
        <v>0.058065</v>
      </c>
      <c r="B9" s="31">
        <v>8.434551724178501</v>
      </c>
      <c r="C9" s="31">
        <v>9.085849965877095</v>
      </c>
      <c r="D9" s="31">
        <v>9.931409822673647</v>
      </c>
      <c r="E9" s="31">
        <v>11.075058988367168</v>
      </c>
      <c r="F9" s="31">
        <v>12.710655673816303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17354000000</v>
      </c>
      <c r="C5" s="18">
        <v>17323000000</v>
      </c>
      <c r="D5" s="18">
        <v>15912400000</v>
      </c>
      <c r="E5" s="18">
        <v>15803400000</v>
      </c>
      <c r="F5" s="8" t="s">
        <v>85</v>
      </c>
    </row>
    <row r="6" spans="1:6" x14ac:dyDescent="0.25">
      <c r="A6" t="s">
        <v>44</v>
      </c>
      <c r="B6" s="18">
        <v>503000000</v>
      </c>
      <c r="C6" s="18">
        <v>497300000</v>
      </c>
      <c r="D6" s="18">
        <v>480400000</v>
      </c>
      <c r="E6" s="18">
        <v>499300000</v>
      </c>
      <c r="F6" s="8" t="s">
        <v>86</v>
      </c>
    </row>
    <row r="7" spans="1:6" x14ac:dyDescent="0.25">
      <c r="A7" t="s">
        <v>87</v>
      </c>
      <c r="B7" s="18">
        <v>258000000</v>
      </c>
      <c r="C7" s="18">
        <v>240000000</v>
      </c>
      <c r="D7" s="18">
        <v>192000000</v>
      </c>
      <c r="E7" s="18">
        <v>175000000</v>
      </c>
      <c r="F7" s="8" t="s">
        <v>88</v>
      </c>
    </row>
    <row r="8" spans="1:6" x14ac:dyDescent="0.25">
      <c r="A8" t="s">
        <v>89</v>
      </c>
      <c r="B8" s="18">
        <v>175200000</v>
      </c>
      <c r="C8" s="18">
        <v>148500000</v>
      </c>
      <c r="D8" s="18">
        <v>135900000</v>
      </c>
      <c r="E8" s="18">
        <v>152100000</v>
      </c>
      <c r="F8" s="8" t="s">
        <v>90</v>
      </c>
    </row>
    <row r="9" spans="1:6" x14ac:dyDescent="0.25">
      <c r="A9" t="s">
        <v>91</v>
      </c>
      <c r="B9" s="18">
        <v>-34500000</v>
      </c>
      <c r="C9" s="18">
        <v>-19600000</v>
      </c>
      <c r="D9" s="18">
        <v>-94000000</v>
      </c>
      <c r="E9" s="18">
        <v>0</v>
      </c>
      <c r="F9" s="8" t="s">
        <v>92</v>
      </c>
    </row>
    <row r="10" spans="1:6" x14ac:dyDescent="0.25">
      <c r="A10" t="s">
        <v>93</v>
      </c>
      <c r="B10" s="18">
        <v>1901000000</v>
      </c>
      <c r="C10" s="18">
        <v>1890800000</v>
      </c>
      <c r="D10" s="18">
        <v>1411000000</v>
      </c>
      <c r="E10" s="18">
        <v>1488500000</v>
      </c>
      <c r="F10" s="8" t="s">
        <v>94</v>
      </c>
    </row>
    <row r="11" spans="1:6" x14ac:dyDescent="0.25">
      <c r="A11" t="s">
        <v>95</v>
      </c>
      <c r="B11" s="18">
        <v>67900000</v>
      </c>
      <c r="C11" s="18">
        <v>87300000</v>
      </c>
      <c r="D11" s="18">
        <v>100000000</v>
      </c>
      <c r="E11" s="18">
        <v>91500000</v>
      </c>
      <c r="F11" s="8" t="s">
        <v>96</v>
      </c>
    </row>
    <row r="12" spans="1:6" x14ac:dyDescent="0.25">
      <c r="A12" t="s">
        <v>32</v>
      </c>
      <c r="B12" s="34">
        <v>1103162055</v>
      </c>
      <c r="C12" s="34">
        <v>1098062016</v>
      </c>
      <c r="D12" s="34">
        <v>1000778210</v>
      </c>
      <c r="E12" s="34">
        <v>970037453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86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2026-09-19T00:06:07Z</dcterms:modified>
</cp:coreProperties>
</file>