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<sst xmlns="http://schemas.openxmlformats.org/spreadsheetml/2006/main" count="113" uniqueCount="101">
  <si>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MTU Aero Engines AG (MTX.DE)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</si>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</sst>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0.18025323883200972</v>
      </c>
    </row>
    <row r="7" spans="1:2" x14ac:dyDescent="0.25">
      <c r="A7" t="s">
        <v>5</v>
      </c>
      <c r="B7" s="6">
        <v>0.07746183517391547</v>
      </c>
    </row>
    <row r="8" spans="1:2" x14ac:dyDescent="0.25">
      <c r="A8" t="s">
        <v>6</v>
      </c>
      <c r="B8" s="6">
        <v>0.28077753779697623</v>
      </c>
    </row>
    <row r="9" spans="1:2" x14ac:dyDescent="0.25">
      <c r="A9" t="s">
        <v>7</v>
      </c>
      <c r="B9" s="6">
        <v>0.06033577809937704</v>
      </c>
    </row>
    <row r="10" spans="1:2" x14ac:dyDescent="0.25">
      <c r="A10" t="s">
        <v>8</v>
      </c>
      <c r="B10" s="6">
        <v>0.07335819855873939</v>
      </c>
    </row>
    <row r="11" spans="1:2" x14ac:dyDescent="0.25">
      <c r="A11" t="s">
        <v>9</v>
      </c>
      <c r="B11" s="6">
        <v>0.3271484375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10.633069421800949</v>
      </c>
    </row>
    <row r="14" spans="1:3" x14ac:dyDescent="0.25">
      <c r="A14" t="s">
        <v>12</v>
      </c>
      <c r="B14" s="6">
        <v>0.11469069095336594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0.92965</v>
      </c>
      <c r="C19" s="8" t="s">
        <v>19</v>
      </c>
    </row>
    <row r="20" spans="1:2" x14ac:dyDescent="0.25">
      <c r="A20" t="s">
        <v>20</v>
      </c>
      <c r="B20" s="10">
        <f>B17+B19*B18</f>
        <v>0.08177899999999999</v>
      </c>
    </row>
    <row r="21" spans="1:3" x14ac:dyDescent="0.25">
      <c r="A21" t="s">
        <v>21</v>
      </c>
      <c r="B21" s="6">
        <v>0.05108499095840868</v>
      </c>
      <c r="C21" s="8" t="s">
        <v>22</v>
      </c>
    </row>
    <row r="22" spans="1:2" x14ac:dyDescent="0.25">
      <c r="A22" t="s">
        <v>23</v>
      </c>
      <c r="B22" s="11">
        <v>18310621184</v>
      </c>
    </row>
    <row r="23" spans="1:2" x14ac:dyDescent="0.25">
      <c r="A23" t="s">
        <v>24</v>
      </c>
      <c r="B23" s="11">
        <v>1995000000</v>
      </c>
    </row>
    <row r="24" spans="1:2" x14ac:dyDescent="0.25">
      <c r="A24" t="s">
        <v>25</v>
      </c>
      <c r="B24" s="10">
        <f>B22/(B22+B23)</f>
        <v>0.9017513435357507</v>
      </c>
    </row>
    <row r="25" spans="1:2" x14ac:dyDescent="0.25">
      <c r="A25" t="s">
        <v>26</v>
      </c>
      <c r="B25" s="10">
        <f>1-B24</f>
        <v>0.0982486564642493</v>
      </c>
    </row>
    <row r="26" spans="1:2" x14ac:dyDescent="0.25">
      <c r="A26" t="s">
        <v>27</v>
      </c>
      <c r="B26" s="12">
        <f>B24*B20+B25*B21*(1-B8)</f>
        <v>0.07735412347968748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8763000000</v>
      </c>
      <c r="C29" s="8" t="s">
        <v>30</v>
      </c>
    </row>
    <row r="30" spans="1:2" x14ac:dyDescent="0.25">
      <c r="A30" t="s">
        <v>31</v>
      </c>
      <c r="B30" s="11">
        <v>-362000000</v>
      </c>
    </row>
    <row r="31" spans="1:2" x14ac:dyDescent="0.25">
      <c r="A31" t="s">
        <v>32</v>
      </c>
      <c r="B31" s="13">
        <v>55106860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0.18025323883200972</v>
      </c>
      <c r="C5" s="10">
        <f>Assumptions!B6</f>
        <v>0.18025323883200972</v>
      </c>
      <c r="D5" s="10">
        <f>Assumptions!B6</f>
        <v>0.18025323883200972</v>
      </c>
      <c r="E5" s="10">
        <f>Assumptions!B6</f>
        <v>0.18025323883200972</v>
      </c>
      <c r="F5" s="10">
        <f>Assumptions!B6</f>
        <v>0.18025323883200972</v>
      </c>
    </row>
    <row r="6" spans="1:6" x14ac:dyDescent="0.25">
      <c r="A6" t="s">
        <v>43</v>
      </c>
      <c r="B6" s="18">
        <f>Assumptions!B29*(1+B5)</f>
        <v>10342559131.884901</v>
      </c>
      <c r="C6" s="18">
        <f>B6*(1+C5)</f>
        <v>12206838913.218733</v>
      </c>
      <c r="D6" s="18">
        <f>C6*(1+D5)</f>
        <v>14407161163.227018</v>
      </c>
      <c r="E6" s="18">
        <f>D6*(1+E5)</f>
        <v>17004098625.273434</v>
      </c>
      <c r="F6" s="18">
        <f>E6*(1+F5)</f>
        <v>20069142475.897896</v>
      </c>
    </row>
    <row r="7" spans="1:6" x14ac:dyDescent="0.25">
      <c r="A7" t="s">
        <v>5</v>
      </c>
      <c r="B7" s="10">
        <f>Assumptions!B7</f>
        <v>0.07746183517391547</v>
      </c>
      <c r="C7" s="10">
        <f>Assumptions!B7</f>
        <v>0.07746183517391547</v>
      </c>
      <c r="D7" s="10">
        <f>Assumptions!B7</f>
        <v>0.07746183517391547</v>
      </c>
      <c r="E7" s="10">
        <f>Assumptions!B7</f>
        <v>0.07746183517391547</v>
      </c>
      <c r="F7" s="10">
        <f>Assumptions!B7</f>
        <v>0.07746183517391547</v>
      </c>
    </row>
    <row r="8" spans="1:6" x14ac:dyDescent="0.25">
      <c r="A8" t="s">
        <v>44</v>
      </c>
      <c r="B8" s="18">
        <f>B6*B7</f>
        <v>801153610.7505425</v>
      </c>
      <c r="C8" s="18">
        <f>C6*C7</f>
        <v>945564143.8902869</v>
      </c>
      <c r="D8" s="18">
        <f>D6*D7</f>
        <v>1116005143.3499277</v>
      </c>
      <c r="E8" s="18">
        <f>E6*E7</f>
        <v>1317168684.9919333</v>
      </c>
      <c r="F8" s="18">
        <f>F6*F7</f>
        <v>1554592606.5498288</v>
      </c>
    </row>
    <row r="9" spans="1:6" x14ac:dyDescent="0.25">
      <c r="A9" t="s">
        <v>45</v>
      </c>
      <c r="B9" s="18">
        <f>B8*(1-Assumptions!B8)</f>
        <v>576207672.5268481</v>
      </c>
      <c r="C9" s="18">
        <f>C8*(1-Assumptions!B8)</f>
        <v>680070971.7396665</v>
      </c>
      <c r="D9" s="18">
        <f>D8*(1-Assumptions!B8)</f>
        <v>802655967.0313735</v>
      </c>
      <c r="E9" s="18">
        <f>E8*(1-Assumptions!B8)</f>
        <v>947337304.7566173</v>
      </c>
      <c r="F9" s="18">
        <f>F8*(1-Assumptions!B8)</f>
        <v>1118097922.2053845</v>
      </c>
    </row>
    <row r="10" spans="1:6" x14ac:dyDescent="0.25">
      <c r="A10" t="s">
        <v>46</v>
      </c>
      <c r="B10" s="18">
        <f>B6*Assumptions!B9</f>
        <v>624026352.761093</v>
      </c>
      <c r="C10" s="18">
        <f>C6*Assumptions!B9</f>
        <v>736509123.9628062</v>
      </c>
      <c r="D10" s="18">
        <f>D6*Assumptions!B9</f>
        <v>869267278.9864281</v>
      </c>
      <c r="E10" s="18">
        <f>E6*Assumptions!B9</f>
        <v>1025955521.4344201</v>
      </c>
      <c r="F10" s="18">
        <f>F6*Assumptions!B9</f>
        <v>1210887327.0705578</v>
      </c>
    </row>
    <row r="11" spans="1:6" x14ac:dyDescent="0.25">
      <c r="A11" t="s">
        <v>47</v>
      </c>
      <c r="B11" s="18">
        <f>-B6*Assumptions!B10</f>
        <v>-758711506.4023159</v>
      </c>
      <c r="C11" s="18">
        <f>-C6*Assumptions!B10</f>
        <v>-895471712.7704463</v>
      </c>
      <c r="D11" s="18">
        <f>-D6*Assumptions!B10</f>
        <v>-1056883389.2797663</v>
      </c>
      <c r="E11" s="18">
        <f>-E6*Assumptions!B10</f>
        <v>-1247390043.265196</v>
      </c>
      <c r="F11" s="18">
        <f>-F6*Assumptions!B10</f>
        <v>-1472236138.6505485</v>
      </c>
    </row>
    <row r="12" spans="1:6" x14ac:dyDescent="0.25">
      <c r="A12" t="s">
        <v>48</v>
      </c>
      <c r="B12" s="18">
        <f>-(B6-Assumptions!B29)*Assumptions!B11</f>
        <v>-516750301.9350018</v>
      </c>
      <c r="C12" s="18">
        <f>-(C6-B6)*Assumptions!B11</f>
        <v>-609896217.5262047</v>
      </c>
      <c r="D12" s="18">
        <f>-(D6-C6)*Assumptions!B11</f>
        <v>-719831986.086695</v>
      </c>
      <c r="E12" s="18">
        <f>-(E6-D6)*Assumptions!B11</f>
        <v>-849584032.9937004</v>
      </c>
      <c r="F12" s="18">
        <f>-(F6-E6)*Assumptions!B11</f>
        <v>-1002724306.6007762</v>
      </c>
    </row>
    <row r="13" spans="1:6" x14ac:dyDescent="0.25">
      <c r="A13" s="19" t="s">
        <v>49</v>
      </c>
      <c r="B13" s="20">
        <f>B9+B10+B11+B12</f>
        <v>-75227783.04937667</v>
      </c>
      <c r="C13" s="20">
        <f>C9+C10+C11+C12</f>
        <v>-88787834.59417832</v>
      </c>
      <c r="D13" s="20">
        <f>D9+D10+D11+D12</f>
        <v>-104792129.34865952</v>
      </c>
      <c r="E13" s="20">
        <f>E9+E10+E11+E12</f>
        <v>-123681250.06785905</v>
      </c>
      <c r="F13" s="20">
        <f>F9+F10+F11+F12</f>
        <v>-145975195.97538233</v>
      </c>
    </row>
    <row r="14" spans="1:6" x14ac:dyDescent="0.25">
      <c r="A14" t="s">
        <v>50</v>
      </c>
      <c r="B14" s="21">
        <f>1/(1+Assumptions!$B$26)^(1-0.5*Assumptions!$B$32)</f>
        <v>0.963431320634988</v>
      </c>
      <c r="C14" s="21">
        <f>1/(1+Assumptions!$B$26)^(2-0.5*Assumptions!$B$32)</f>
        <v>0.8942568647003954</v>
      </c>
      <c r="D14" s="21">
        <f>1/(1+Assumptions!$B$26)^(3-0.5*Assumptions!$B$32)</f>
        <v>0.8300491409566279</v>
      </c>
      <c r="E14" s="21">
        <f>1/(1+Assumptions!$B$26)^(4-0.5*Assumptions!$B$32)</f>
        <v>0.7704515375832945</v>
      </c>
      <c r="F14" s="21">
        <f>1/(1+Assumptions!$B$26)^(5-0.5*Assumptions!$B$32)</f>
        <v>0.7151330475209534</v>
      </c>
    </row>
    <row r="15" spans="1:6" x14ac:dyDescent="0.25">
      <c r="A15" s="19" t="s">
        <v>51</v>
      </c>
      <c r="B15" s="20">
        <f>B13*B14</f>
        <v>-72476802.37170333</v>
      </c>
      <c r="C15" s="20">
        <f>C13*C14</f>
        <v>-79399130.58772722</v>
      </c>
      <c r="D15" s="20">
        <f>D13*D14</f>
        <v>-86982616.94487067</v>
      </c>
      <c r="E15" s="20">
        <f>E13*E14</f>
        <v>-95290409.28500596</v>
      </c>
      <c r="F15" s="20">
        <f>F13*F14</f>
        <v>-104391686.76034358</v>
      </c>
    </row>
    <row r="17" spans="1:2" x14ac:dyDescent="0.25">
      <c r="A17" s="22" t="s">
        <v>52</v>
      </c>
      <c r="B17" s="23">
        <f>SUM(B15:F15)</f>
        <v>-438540645.94965076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-145975195.97538233</v>
      </c>
    </row>
    <row r="5" spans="1:2" x14ac:dyDescent="0.25">
      <c r="A5" t="s">
        <v>56</v>
      </c>
      <c r="B5" s="18">
        <f>IF(Assumptions!$B$33=0,B4,B4-Forecast!F11-Forecast!F10-Forecast!F12)</f>
        <v>1821770053.3421478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0.21797758642996737</v>
      </c>
    </row>
    <row r="7" spans="1:2" x14ac:dyDescent="0.25">
      <c r="A7" t="s">
        <v>58</v>
      </c>
      <c r="B7" s="18">
        <f>-MAX(Forecast!F9,0)*B6</f>
        <v>-397105039.2579143</v>
      </c>
    </row>
    <row r="8" spans="1:2" x14ac:dyDescent="0.25">
      <c r="A8" t="s">
        <v>59</v>
      </c>
      <c r="B8" s="18">
        <f>IF(OR(Assumptions!$B$33=0,Assumptions!B12&lt;=0),B5,MAX(B5+B7,0))</f>
        <v>1424665014.0842335</v>
      </c>
    </row>
    <row r="9" spans="1:2" x14ac:dyDescent="0.25">
      <c r="A9" t="s">
        <v>60</v>
      </c>
      <c r="B9" s="18">
        <f>B8*(1+Assumptions!B12)/(Assumptions!B26-Assumptions!B12)</f>
        <v>27892390176.351704</v>
      </c>
    </row>
    <row r="10" spans="1:2" x14ac:dyDescent="0.25">
      <c r="A10" t="s">
        <v>61</v>
      </c>
      <c r="B10" s="18">
        <f>B9/(1+Assumptions!B26)^(5-0.5*Assumptions!B32)</f>
        <v>19946769989.457897</v>
      </c>
    </row>
    <row r="11" spans="1:2" x14ac:dyDescent="0.25">
      <c r="A11" t="s">
        <v>62</v>
      </c>
      <c r="B11" s="18">
        <f>Forecast!B17+B10</f>
        <v>19508229343.508247</v>
      </c>
    </row>
    <row r="12" spans="1:2" x14ac:dyDescent="0.25">
      <c r="A12" t="s">
        <v>63</v>
      </c>
      <c r="B12" s="18">
        <f>-Assumptions!B30</f>
        <v>362000000</v>
      </c>
    </row>
    <row r="13" spans="1:2" x14ac:dyDescent="0.25">
      <c r="A13" t="s">
        <v>64</v>
      </c>
      <c r="B13" s="18">
        <f>B11+B12</f>
        <v>19870229343.508247</v>
      </c>
    </row>
    <row r="14" spans="1:2" x14ac:dyDescent="0.25">
      <c r="A14" s="19" t="s">
        <v>65</v>
      </c>
      <c r="B14" s="24">
        <f>B13/Assumptions!B31</f>
        <v>360.57633012492903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2765479933.6203866</v>
      </c>
    </row>
    <row r="18" spans="1:2" x14ac:dyDescent="0.25">
      <c r="A18" t="s">
        <v>60</v>
      </c>
      <c r="B18" s="18">
        <f>B17*Assumptions!B13</f>
        <v>29405540118.78305</v>
      </c>
    </row>
    <row r="19" spans="1:2" x14ac:dyDescent="0.25">
      <c r="A19" t="s">
        <v>61</v>
      </c>
      <c r="B19" s="18">
        <f>B18/(1+Assumptions!B26)^(5-0.5*Assumptions!B32)</f>
        <v>21028873519.14498</v>
      </c>
    </row>
    <row r="20" spans="1:2" x14ac:dyDescent="0.25">
      <c r="A20" t="s">
        <v>62</v>
      </c>
      <c r="B20" s="18">
        <f>Forecast!B17+B19</f>
        <v>20590332873.19533</v>
      </c>
    </row>
    <row r="21" spans="1:2" x14ac:dyDescent="0.25">
      <c r="A21" t="s">
        <v>63</v>
      </c>
      <c r="B21" s="18">
        <f>-Assumptions!B30</f>
        <v>362000000</v>
      </c>
    </row>
    <row r="22" spans="1:2" x14ac:dyDescent="0.25">
      <c r="A22" t="s">
        <v>64</v>
      </c>
      <c r="B22" s="18">
        <f>B20+B21</f>
        <v>20952332873.19533</v>
      </c>
    </row>
    <row r="23" spans="1:2" x14ac:dyDescent="0.25">
      <c r="A23" s="19" t="s">
        <v>65</v>
      </c>
      <c r="B23" s="25">
        <f>B22/Assumptions!B31</f>
        <v>380.2127879032725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339.9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360.57633012492903</v>
      </c>
    </row>
    <row r="29" spans="1:2" x14ac:dyDescent="0.25">
      <c r="A29" s="19" t="s">
        <v>73</v>
      </c>
      <c r="B29" s="12">
        <f>B28/B26-1</f>
        <v>0.060830627022445016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0.057354</v>
      </c>
      <c r="B5" s="31">
        <v>533.9873742961494</v>
      </c>
      <c r="C5" s="31">
        <v>578.07812298521</v>
      </c>
      <c r="D5" s="31">
        <v>635.4498901727032</v>
      </c>
      <c r="E5" s="31">
        <v>713.3855331181348</v>
      </c>
      <c r="F5" s="31">
        <v>825.6838411374683</v>
      </c>
    </row>
    <row r="6" spans="1:6" x14ac:dyDescent="0.25">
      <c r="A6" s="30">
        <v>0.067354</v>
      </c>
      <c r="B6" s="31">
        <v>413.8813678905262</v>
      </c>
      <c r="C6" s="31">
        <v>436.8611085315567</v>
      </c>
      <c r="D6" s="31">
        <v>465.0127116262442</v>
      </c>
      <c r="E6" s="31">
        <v>500.4130079505398</v>
      </c>
      <c r="F6" s="31">
        <v>546.4226452896975</v>
      </c>
    </row>
    <row r="7" spans="1:6" x14ac:dyDescent="0.25">
      <c r="A7" s="30">
        <v>0.077354</v>
      </c>
      <c r="B7" s="31">
        <v>333.116442417038</v>
      </c>
      <c r="C7" s="31">
        <v>345.73976367602734</v>
      </c>
      <c r="D7" s="32">
        <v>360.57736808172785</v>
      </c>
      <c r="E7" s="31">
        <v>378.3306588355731</v>
      </c>
      <c r="F7" s="31">
        <v>400.0322490372033</v>
      </c>
    </row>
    <row r="8" spans="1:6" x14ac:dyDescent="0.25">
      <c r="A8" s="30">
        <v>0.087354</v>
      </c>
      <c r="B8" s="31">
        <v>275.33914091158607</v>
      </c>
      <c r="C8" s="31">
        <v>282.35830467291777</v>
      </c>
      <c r="D8" s="31">
        <v>290.34460336019606</v>
      </c>
      <c r="E8" s="31">
        <v>299.5509752844231</v>
      </c>
      <c r="F8" s="31">
        <v>310.32698492117316</v>
      </c>
    </row>
    <row r="9" spans="1:6" x14ac:dyDescent="0.25">
      <c r="A9" s="30">
        <v>0.097354</v>
      </c>
      <c r="B9" s="31">
        <v>232.14147133467355</v>
      </c>
      <c r="C9" s="31">
        <v>235.9237049967622</v>
      </c>
      <c r="D9" s="31">
        <v>240.09754731912508</v>
      </c>
      <c r="E9" s="31">
        <v>244.75021108651336</v>
      </c>
      <c r="F9" s="31">
        <v>249.99688252074705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8763000000</v>
      </c>
      <c r="C5" s="18">
        <v>7411000000</v>
      </c>
      <c r="D5" s="18">
        <v>5363000000</v>
      </c>
      <c r="E5" s="18">
        <v>5330000000</v>
      </c>
      <c r="F5" s="8" t="s">
        <v>84</v>
      </c>
    </row>
    <row r="6" spans="1:6" x14ac:dyDescent="0.25">
      <c r="A6" t="s">
        <v>44</v>
      </c>
      <c r="B6" s="18">
        <v>1272000000</v>
      </c>
      <c r="C6" s="18">
        <v>882000000</v>
      </c>
      <c r="D6" s="18">
        <v>-239000000</v>
      </c>
      <c r="E6" s="18">
        <v>481000000</v>
      </c>
      <c r="F6" s="8" t="s">
        <v>85</v>
      </c>
    </row>
    <row r="7" spans="1:6" x14ac:dyDescent="0.25">
      <c r="A7" t="s">
        <v>86</v>
      </c>
      <c r="B7" s="18">
        <v>416000000</v>
      </c>
      <c r="C7" s="18">
        <v>483000000</v>
      </c>
      <c r="D7" s="18">
        <v>332000000</v>
      </c>
      <c r="E7" s="18">
        <v>356000000</v>
      </c>
      <c r="F7" s="8" t="s">
        <v>87</v>
      </c>
    </row>
    <row r="8" spans="1:6" x14ac:dyDescent="0.25">
      <c r="A8" t="s">
        <v>88</v>
      </c>
      <c r="B8" s="18">
        <v>515000000</v>
      </c>
      <c r="C8" s="18">
        <v>640000000</v>
      </c>
      <c r="D8" s="18">
        <v>412000000</v>
      </c>
      <c r="E8" s="18">
        <v>381000000</v>
      </c>
      <c r="F8" s="8" t="s">
        <v>89</v>
      </c>
    </row>
    <row r="9" spans="1:6" x14ac:dyDescent="0.25">
      <c r="A9" t="s">
        <v>90</v>
      </c>
      <c r="B9" s="18">
        <v>396000000</v>
      </c>
      <c r="C9" s="18">
        <v>670000000</v>
      </c>
      <c r="D9" s="18">
        <v>127000000</v>
      </c>
      <c r="E9" s="18">
        <v>278000000</v>
      </c>
      <c r="F9" s="8" t="s">
        <v>91</v>
      </c>
    </row>
    <row r="10" spans="1:6" x14ac:dyDescent="0.25">
      <c r="A10" t="s">
        <v>92</v>
      </c>
      <c r="B10" s="18">
        <v>1995000000</v>
      </c>
      <c r="C10" s="18">
        <v>2429000000</v>
      </c>
      <c r="D10" s="18">
        <v>1272000000</v>
      </c>
      <c r="E10" s="18">
        <v>112000000</v>
      </c>
      <c r="F10" s="8" t="s">
        <v>93</v>
      </c>
    </row>
    <row r="11" spans="1:6" x14ac:dyDescent="0.25">
      <c r="A11" t="s">
        <v>94</v>
      </c>
      <c r="B11" s="18">
        <v>2357000000</v>
      </c>
      <c r="C11" s="18">
        <v>2605000000</v>
      </c>
      <c r="D11" s="18">
        <v>1539000000</v>
      </c>
      <c r="E11" s="18">
        <v>1213000000</v>
      </c>
      <c r="F11" s="8" t="s">
        <v>95</v>
      </c>
    </row>
    <row r="12" spans="1:6" x14ac:dyDescent="0.25">
      <c r="A12" t="s">
        <v>32</v>
      </c>
      <c r="B12" s="34">
        <v>55106860</v>
      </c>
      <c r="C12" s="34">
        <v>55099345</v>
      </c>
      <c r="D12" s="34">
        <v>55086851</v>
      </c>
      <c r="E12" s="34">
        <v>55073719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2026-09-19T00:08:43Z</dcterms:modified>
</cp:coreProperties>
</file>