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<sst xmlns="http://schemas.openxmlformats.org/spreadsheetml/2006/main" count="121" uniqueCount="108">
  <si>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Micron Technology, Inc. (MU)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</si>
  <si>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</si>
  <si>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</si>
  <si>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</si>
  <si>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</si>
  <si>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</si>
  <si>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</si>
  <si>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</si>
  <si>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</si>
  <si>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</si>
  <si>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</si>
  <si>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</si>
  <si>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</si>
  <si>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</si>
  <si>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</si>
  <si>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</si>
  <si>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</si>
  <si>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</si>
  <si>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</si>
  <si>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</si>
  <si>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</si>
  <si>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</si>
  <si>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</si>
  <si>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</si>
  <si>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937.2x interest cover. Book interest / average debt was lower, at 1.1%.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</si>
  <si>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</si>
  <si>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</si>
  <si>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</si>
  <si>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</si>
  <si>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</si>
  <si>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</si>
  <si>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</si>
  <si>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2026-08-31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</si>
  <si>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</si>
  <si>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</si>
  <si>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</si>
  <si>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</si>
  <si>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</si>
  <si>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</si>
  <si>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</si>
  <si>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</si>
  <si>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</si>
  <si>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</si>
  <si>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</si>
  <si>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</si>
  <si>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</si>
  <si>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</si>
  <si>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</si>
  <si>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</si>
  <si>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</si>
  <si>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</si>
  <si>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</si>
  <si>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</si>
  <si>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</si>
  <si>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</si>
  <si>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</si>
  <si>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</si>
  <si>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</si>
  <si>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</si>
  <si>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</si>
  <si>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</si>
  <si>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</si>
  <si>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</si>
  <si>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</si>
  <si>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</si>
  <si>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</si>
  <si>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</si>
  <si>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</si>
  <si>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</si>
  <si>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</si>
  <si>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</si>
  <si>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</si>
  <si>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</si>
  <si>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</si>
  <si>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</si>
  <si>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</si>
  <si>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</si>
  <si>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</si>
  <si>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</si>
  <si>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</si>
  <si>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</si>
  <si>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</si>
  <si>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</si>
  <si>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</si>
  <si>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</si>
  <si>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</si>
  <si>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2026-08-31</t>
  </si>
  <si>
    <t>2025-08-31</t>
  </si>
  <si>
    <t>2024-08-31</t>
  </si>
  <si>
    <t>2023-08-31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</si>
  <si>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</si>
  <si>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</si>
  <si>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</si>
  <si>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</si>
  <si>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</si>
  <si>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</si>
  <si>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</si>
  <si>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</si>
  <si>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</si>
  <si>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</si>
  <si>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</si>
  <si>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</si>
  <si>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</si>
  <si>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</si>
  <si>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</si>
  <si>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</si>
  <si>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37.1% of revenue against depreciation of 27.6%.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</si>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</sst>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0.5</v>
      </c>
    </row>
    <row r="7" spans="1:2" x14ac:dyDescent="0.25">
      <c r="A7" t="s">
        <v>4</v>
      </c>
      <c r="B7" s="5">
        <v>0.17784100695161892</v>
      </c>
    </row>
    <row r="8" spans="1:2" x14ac:dyDescent="0.25">
      <c r="A8" t="s">
        <v>5</v>
      </c>
      <c r="B8" s="5">
        <v>0.1480972399193346</v>
      </c>
    </row>
    <row r="9" spans="1:2" x14ac:dyDescent="0.25">
      <c r="A9" t="s">
        <v>6</v>
      </c>
      <c r="B9" s="5">
        <v>0.2759301745128662</v>
      </c>
    </row>
    <row r="10" spans="1:3" x14ac:dyDescent="0.25">
      <c r="A10" t="s">
        <v>7</v>
      </c>
      <c r="B10" s="5">
        <v>0.3706832936891365</v>
      </c>
      <c r="C10" s="6" t="s">
        <v>8</v>
      </c>
    </row>
    <row r="11" spans="1:2" x14ac:dyDescent="0.25">
      <c r="A11" t="s">
        <v>9</v>
      </c>
      <c r="B11" s="5">
        <v>0.39602299984654366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8.845404947382928</v>
      </c>
    </row>
    <row r="14" spans="1:3" x14ac:dyDescent="0.25">
      <c r="A14" t="s">
        <v>12</v>
      </c>
      <c r="B14" s="5">
        <v>0.12668711324527537</v>
      </c>
      <c r="C14" s="6" t="s">
        <v>13</v>
      </c>
    </row>
    <row r="15" spans="1:3" x14ac:dyDescent="0.25">
      <c r="A15" t="s">
        <v>14</v>
      </c>
      <c r="B15" s="5">
        <v>0.2759301745128662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1.8214199999999998</v>
      </c>
      <c r="C19" s="6" t="s">
        <v>21</v>
      </c>
    </row>
    <row r="20" spans="1:2" x14ac:dyDescent="0.25">
      <c r="A20" t="s">
        <v>22</v>
      </c>
      <c r="B20" s="9">
        <f>B17+B19*B18</f>
        <v>0.12598606599999998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1001015410688</v>
      </c>
    </row>
    <row r="23" spans="1:2" x14ac:dyDescent="0.25">
      <c r="A23" t="s">
        <v>26</v>
      </c>
      <c r="B23" s="10">
        <v>5179000000</v>
      </c>
    </row>
    <row r="24" spans="1:2" x14ac:dyDescent="0.25">
      <c r="A24" t="s">
        <v>27</v>
      </c>
      <c r="B24" s="9">
        <f>B22/(B22+B23)</f>
        <v>0.9948528833543622</v>
      </c>
    </row>
    <row r="25" spans="1:2" x14ac:dyDescent="0.25">
      <c r="A25" t="s">
        <v>28</v>
      </c>
      <c r="B25" s="9">
        <f>1-B24</f>
        <v>0.005147116645637828</v>
      </c>
    </row>
    <row r="26" spans="1:2" x14ac:dyDescent="0.25">
      <c r="A26" t="s">
        <v>29</v>
      </c>
      <c r="B26" s="11">
        <f>B24*B20+B25*B21*(1-B8)</f>
        <v>0.1255697346044748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133188000000</v>
      </c>
      <c r="C29" s="6" t="s">
        <v>32</v>
      </c>
    </row>
    <row r="30" spans="1:2" x14ac:dyDescent="0.25">
      <c r="A30" t="s">
        <v>33</v>
      </c>
      <c r="B30" s="10">
        <v>-38255000000</v>
      </c>
    </row>
    <row r="31" spans="1:2" x14ac:dyDescent="0.25">
      <c r="A31" t="s">
        <v>34</v>
      </c>
      <c r="B31" s="12">
        <v>1143000000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0.5</v>
      </c>
      <c r="C5" s="5">
        <v>0.16034110217354614</v>
      </c>
      <c r="D5" s="5">
        <v>0.14342346440185286</v>
      </c>
      <c r="E5" s="5">
        <v>0.1265058266301596</v>
      </c>
      <c r="F5" s="5">
        <v>0.10958818885846633</v>
      </c>
      <c r="G5" s="5">
        <v>0.09267055108677306</v>
      </c>
      <c r="H5" s="5">
        <v>0.0757529133150798</v>
      </c>
      <c r="I5" s="5">
        <v>0.05883527554338652</v>
      </c>
      <c r="J5" s="5">
        <v>0.04191763777169326</v>
      </c>
      <c r="K5" s="5">
        <v>0.024999999999999994</v>
      </c>
    </row>
    <row r="6" spans="1:11" x14ac:dyDescent="0.25">
      <c r="A6" t="s">
        <v>50</v>
      </c>
      <c r="B6" s="18">
        <f>Assumptions!B29*(1+B5)</f>
        <v>199782000000</v>
      </c>
      <c r="C6" s="18">
        <f>B6*(1+C5)</f>
        <v>231815266074.4354</v>
      </c>
      <c r="D6" s="18">
        <f>C6*(1+D5)</f>
        <v>265063014636.0682</v>
      </c>
      <c r="E6" s="18">
        <f>D6*(1+E5)</f>
        <v>298595030411.6861</v>
      </c>
      <c r="F6" s="18">
        <f>E6*(1+F5)</f>
        <v>331317518996.6414</v>
      </c>
      <c r="G6" s="18">
        <f>F6*(1+G5)</f>
        <v>362020896066.76263</v>
      </c>
      <c r="H6" s="18">
        <f>G6*(1+H5)</f>
        <v>389445033624.7556</v>
      </c>
      <c r="I6" s="18">
        <f>H6*(1+I5)</f>
        <v>412358139487.07153</v>
      </c>
      <c r="J6" s="18">
        <f>I6*(1+J5)</f>
        <v>429643218610.2999</v>
      </c>
      <c r="K6" s="18">
        <f>J6*(1+K5)</f>
        <v>440384299075.5574</v>
      </c>
    </row>
    <row r="7" spans="1:11" x14ac:dyDescent="0.25">
      <c r="A7" t="s">
        <v>4</v>
      </c>
      <c r="B7" s="9">
        <f>Assumptions!B7</f>
        <v>0.17784100695161892</v>
      </c>
      <c r="C7" s="9">
        <f>Assumptions!B7</f>
        <v>0.17784100695161892</v>
      </c>
      <c r="D7" s="9">
        <f>Assumptions!B7</f>
        <v>0.17784100695161892</v>
      </c>
      <c r="E7" s="9">
        <f>Assumptions!B7</f>
        <v>0.17784100695161892</v>
      </c>
      <c r="F7" s="9">
        <f>Assumptions!B7</f>
        <v>0.17784100695161892</v>
      </c>
      <c r="G7" s="9">
        <f>Assumptions!B7</f>
        <v>0.17784100695161892</v>
      </c>
      <c r="H7" s="9">
        <f>Assumptions!B7</f>
        <v>0.17784100695161892</v>
      </c>
      <c r="I7" s="9">
        <f>Assumptions!B7</f>
        <v>0.17784100695161892</v>
      </c>
      <c r="J7" s="9">
        <f>Assumptions!B7</f>
        <v>0.17784100695161892</v>
      </c>
      <c r="K7" s="9">
        <f>Assumptions!B7</f>
        <v>0.17784100695161892</v>
      </c>
    </row>
    <row r="8" spans="1:11" x14ac:dyDescent="0.25">
      <c r="A8" t="s">
        <v>51</v>
      </c>
      <c r="B8" s="18">
        <f>B6*B7</f>
        <v>35529432050.808334</v>
      </c>
      <c r="C8" s="18">
        <f>C6*C7</f>
        <v>41226260345.43505</v>
      </c>
      <c r="D8" s="18">
        <f>D6*D7</f>
        <v>47139073428.51007</v>
      </c>
      <c r="E8" s="18">
        <f>E6*E7</f>
        <v>53102440879.16353</v>
      </c>
      <c r="F8" s="18">
        <f>F6*F7</f>
        <v>58921841199.07484</v>
      </c>
      <c r="G8" s="18">
        <f>G6*G7</f>
        <v>64382160694.04044</v>
      </c>
      <c r="H8" s="18">
        <f>H6*H7</f>
        <v>69259296932.13362</v>
      </c>
      <c r="I8" s="18">
        <f>I6*I7</f>
        <v>73334186751.07693</v>
      </c>
      <c r="J8" s="18">
        <f>J6*J7</f>
        <v>76408182627.59027</v>
      </c>
      <c r="K8" s="18">
        <f>K6*K7</f>
        <v>78318387193.28003</v>
      </c>
    </row>
    <row r="9" spans="1:11" x14ac:dyDescent="0.25">
      <c r="A9" t="s">
        <v>52</v>
      </c>
      <c r="B9" s="18">
        <f>B8*(1-Assumptions!B8)</f>
        <v>30267621228.18208</v>
      </c>
      <c r="C9" s="18">
        <f>C8*(1-Assumptions!B8)</f>
        <v>35120764976.08021</v>
      </c>
      <c r="D9" s="18">
        <f>D8*(1-Assumptions!B8)</f>
        <v>40157906761.39288</v>
      </c>
      <c r="E9" s="18">
        <f>E8*(1-Assumptions!B8)</f>
        <v>45238115951.97977</v>
      </c>
      <c r="F9" s="18">
        <f>F8*(1-Assumptions!B8)</f>
        <v>50195679146.52652</v>
      </c>
      <c r="G9" s="18">
        <f>G8*(1-Assumptions!B8)</f>
        <v>54847340395.209984</v>
      </c>
      <c r="H9" s="18">
        <f>H8*(1-Assumptions!B8)</f>
        <v>59002186217.730995</v>
      </c>
      <c r="I9" s="18">
        <f>I8*(1-Assumptions!B8)</f>
        <v>62473596101.51341</v>
      </c>
      <c r="J9" s="18">
        <f>J8*(1-Assumptions!B8)</f>
        <v>65092341673.1917</v>
      </c>
      <c r="K9" s="18">
        <f>K8*(1-Assumptions!B8)</f>
        <v>66719650215.0215</v>
      </c>
    </row>
    <row r="10" spans="1:11" x14ac:dyDescent="0.25">
      <c r="A10" t="s">
        <v>53</v>
      </c>
      <c r="B10" s="18">
        <f>B6*Assumptions!B9</f>
        <v>55125882124.52944</v>
      </c>
      <c r="C10" s="18">
        <f>C6*Assumptions!B9</f>
        <v>63964826822.665474</v>
      </c>
      <c r="D10" s="18">
        <f>D6*Assumptions!B9</f>
        <v>73138883885.4367</v>
      </c>
      <c r="E10" s="18">
        <f>E6*Assumptions!B9</f>
        <v>82391378850.17114</v>
      </c>
      <c r="F10" s="18">
        <f>F6*Assumptions!B9</f>
        <v>91420500835.91313</v>
      </c>
      <c r="G10" s="18">
        <f>G6*Assumptions!B9</f>
        <v>99892489029.00601</v>
      </c>
      <c r="H10" s="18">
        <f>H6*Assumptions!B9</f>
        <v>107459636091.24786</v>
      </c>
      <c r="I10" s="18">
        <f>I6*Assumptions!B9</f>
        <v>113782053390.46848</v>
      </c>
      <c r="J10" s="18">
        <f>J6*Assumptions!B9</f>
        <v>118551528289.40959</v>
      </c>
      <c r="K10" s="18">
        <f>K6*Assumptions!B9</f>
        <v>121515316496.64482</v>
      </c>
    </row>
    <row r="11" spans="1:11" x14ac:dyDescent="0.25">
      <c r="A11" t="s">
        <v>54</v>
      </c>
      <c r="B11" s="18">
        <f>-B6*B19</f>
        <v>-74055849779.80307</v>
      </c>
      <c r="C11" s="18">
        <f>-C6*C19</f>
        <v>-84259534317.5091</v>
      </c>
      <c r="D11" s="18">
        <f>-D6*D19</f>
        <v>-94434225975.95654</v>
      </c>
      <c r="E11" s="18">
        <f>-E6*E19</f>
        <v>-104228964016.73048</v>
      </c>
      <c r="F11" s="18">
        <f>-F6*F19</f>
        <v>-113263680147.02827</v>
      </c>
      <c r="G11" s="18">
        <f>-G6*G19</f>
        <v>-121151085220.8817</v>
      </c>
      <c r="H11" s="18">
        <f>-H6*H19</f>
        <v>-127522205898.19621</v>
      </c>
      <c r="I11" s="18">
        <f>-I6*I19</f>
        <v>-132053466136.0379</v>
      </c>
      <c r="J11" s="18">
        <f>-J6*J19</f>
        <v>-134492731511.7902</v>
      </c>
      <c r="K11" s="18">
        <f>-K6*K19</f>
        <v>-134681543215.74438</v>
      </c>
    </row>
    <row r="12" spans="1:11" x14ac:dyDescent="0.25">
      <c r="A12" t="s">
        <v>55</v>
      </c>
      <c r="B12" s="18">
        <f>-(B6-Assumptions!B29)*Assumptions!B11</f>
        <v>-26372755651.780727</v>
      </c>
      <c r="C12" s="18">
        <f>-(C6-B6)*Assumptions!B11</f>
        <v>-12685910125.68042</v>
      </c>
      <c r="D12" s="18">
        <f>-(D6-C6)*Assumptions!B11</f>
        <v>-13166873123.521433</v>
      </c>
      <c r="E12" s="18">
        <f>-(E6-D6)*Assumptions!B11</f>
        <v>-13279449478.361822</v>
      </c>
      <c r="F12" s="18">
        <f>-(F6-E6)*Assumptions!B11</f>
        <v>-12958858091.858288</v>
      </c>
      <c r="G12" s="18">
        <f>-(G6-F6)*Assumptions!B11</f>
        <v>-12159243492.728987</v>
      </c>
      <c r="H12" s="18">
        <f>-(H6-G6)*Assumptions!B11</f>
        <v>-10860589223.920647</v>
      </c>
      <c r="I12" s="18">
        <f>-(I6-H6)*Assumptions!B11</f>
        <v>-9074116919.395775</v>
      </c>
      <c r="J12" s="18">
        <f>-(J6-I6)*Assumptions!B11</f>
        <v>-6845288886.965773</v>
      </c>
      <c r="K12" s="18">
        <f>-(K6-J6)*Assumptions!B11</f>
        <v>-4253714907.4443626</v>
      </c>
    </row>
    <row r="13" spans="1:11" x14ac:dyDescent="0.25">
      <c r="A13" s="19" t="s">
        <v>56</v>
      </c>
      <c r="B13" s="20">
        <f>B9+B10+B11+B12</f>
        <v>-15035102078.87228</v>
      </c>
      <c r="C13" s="20">
        <f>C9+C10+C11+C12</f>
        <v>2140147355.5561676</v>
      </c>
      <c r="D13" s="20">
        <f>D9+D10+D11+D12</f>
        <v>5695691547.351614</v>
      </c>
      <c r="E13" s="20">
        <f>E9+E10+E11+E12</f>
        <v>10121081307.058603</v>
      </c>
      <c r="F13" s="20">
        <f>F9+F10+F11+F12</f>
        <v>15393641743.553074</v>
      </c>
      <c r="G13" s="20">
        <f>G9+G10+G11+G12</f>
        <v>21429500710.605316</v>
      </c>
      <c r="H13" s="20">
        <f>H9+H10+H11+H12</f>
        <v>28079027186.86199</v>
      </c>
      <c r="I13" s="20">
        <f>I9+I10+I11+I12</f>
        <v>35128066436.548195</v>
      </c>
      <c r="J13" s="20">
        <f>J9+J10+J11+J12</f>
        <v>42305849563.84531</v>
      </c>
      <c r="K13" s="20">
        <f>K9+K10+K11+K12</f>
        <v>49299708588.47757</v>
      </c>
    </row>
    <row r="14" spans="1:11" x14ac:dyDescent="0.25">
      <c r="A14" t="s">
        <v>57</v>
      </c>
      <c r="B14" s="21">
        <f>1/(1+Assumptions!$B$26)^(1-0.5*Assumptions!$B$32)</f>
        <v>0.9425703984708865</v>
      </c>
      <c r="C14" s="21">
        <f>1/(1+Assumptions!$B$26)^(2-0.5*Assumptions!$B$32)</f>
        <v>0.8374162608433192</v>
      </c>
      <c r="D14" s="21">
        <f>1/(1+Assumptions!$B$26)^(3-0.5*Assumptions!$B$32)</f>
        <v>0.7439932285826673</v>
      </c>
      <c r="E14" s="21">
        <f>1/(1+Assumptions!$B$26)^(4-0.5*Assumptions!$B$32)</f>
        <v>0.6609925673277866</v>
      </c>
      <c r="F14" s="21">
        <f>1/(1+Assumptions!$B$26)^(5-0.5*Assumptions!$B$32)</f>
        <v>0.5872515464890848</v>
      </c>
      <c r="G14" s="21">
        <f>1/(1+Assumptions!$B$26)^(6-0.5*Assumptions!$B$32)</f>
        <v>0.5217371509153496</v>
      </c>
      <c r="H14" s="21">
        <f>1/(1+Assumptions!$B$26)^(7-0.5*Assumptions!$B$32)</f>
        <v>0.46353160970402957</v>
      </c>
      <c r="I14" s="21">
        <f>1/(1+Assumptions!$B$26)^(8-0.5*Assumptions!$B$32)</f>
        <v>0.41181953943254745</v>
      </c>
      <c r="J14" s="21">
        <f>1/(1+Assumptions!$B$26)^(9-0.5*Assumptions!$B$32)</f>
        <v>0.3658765217041491</v>
      </c>
      <c r="K14" s="21">
        <f>1/(1+Assumptions!$B$26)^(10-0.5*Assumptions!$B$32)</f>
        <v>0.32505895499466153</v>
      </c>
    </row>
    <row r="15" spans="1:11" x14ac:dyDescent="0.25">
      <c r="A15" s="19" t="s">
        <v>58</v>
      </c>
      <c r="B15" s="20">
        <f>B13*B14</f>
        <v>-14171642157.5331</v>
      </c>
      <c r="C15" s="20">
        <f>C13*C14</f>
        <v>1792194196.1435635</v>
      </c>
      <c r="D15" s="20">
        <f>D13*D14</f>
        <v>4237555943.325135</v>
      </c>
      <c r="E15" s="20">
        <f>E13*E14</f>
        <v>6689959517.285935</v>
      </c>
      <c r="F15" s="20">
        <f>F13*F14</f>
        <v>9039939920.000475</v>
      </c>
      <c r="G15" s="20">
        <f>G13*G14</f>
        <v>11180566646.289677</v>
      </c>
      <c r="H15" s="20">
        <f>H13*H14</f>
        <v>13015516670.849348</v>
      </c>
      <c r="I15" s="20">
        <f>I13*I14</f>
        <v>14466424141.055206</v>
      </c>
      <c r="J15" s="20">
        <f>J13*J14</f>
        <v>15478717086.158712</v>
      </c>
      <c r="K15" s="20">
        <f>K13*K14</f>
        <v>16025311755.31186</v>
      </c>
    </row>
    <row r="17" spans="1:2" x14ac:dyDescent="0.25">
      <c r="A17" s="22" t="s">
        <v>59</v>
      </c>
      <c r="B17" s="23">
        <f>SUM(B15:K15)</f>
        <v>77754543718.88681</v>
      </c>
    </row>
    <row r="19" spans="1:11" x14ac:dyDescent="0.25">
      <c r="A19" t="s">
        <v>7</v>
      </c>
      <c r="B19" s="9">
        <f>Assumptions!$B$10+($B$20-Assumptions!$B$10)*0/9</f>
        <v>0.3706832936891365</v>
      </c>
      <c r="C19" s="9">
        <f>Assumptions!$B$10+($B$20-Assumptions!$B$10)*1/9</f>
        <v>0.36347707268965423</v>
      </c>
      <c r="D19" s="9">
        <f>Assumptions!$B$10+($B$20-Assumptions!$B$10)*2/9</f>
        <v>0.356270851690172</v>
      </c>
      <c r="E19" s="9">
        <f>Assumptions!$B$10+($B$20-Assumptions!$B$10)*3/9</f>
        <v>0.34906463069068977</v>
      </c>
      <c r="F19" s="9">
        <f>Assumptions!$B$10+($B$20-Assumptions!$B$10)*4/9</f>
        <v>0.3418584096912075</v>
      </c>
      <c r="G19" s="9">
        <f>Assumptions!$B$10+($B$20-Assumptions!$B$10)*5/9</f>
        <v>0.33465218869172525</v>
      </c>
      <c r="H19" s="9">
        <f>Assumptions!$B$10+($B$20-Assumptions!$B$10)*6/9</f>
        <v>0.327445967692243</v>
      </c>
      <c r="I19" s="9">
        <f>Assumptions!$B$10+($B$20-Assumptions!$B$10)*7/9</f>
        <v>0.3202397466927608</v>
      </c>
      <c r="J19" s="9">
        <f>Assumptions!$B$10+($B$20-Assumptions!$B$10)*8/9</f>
        <v>0.3130335256932785</v>
      </c>
      <c r="K19" s="9">
        <f>Assumptions!$B$10+($B$20-Assumptions!$B$10)*9/9</f>
        <v>0.30582730469379626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0.30582730469379626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49299708588.47757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66719650215.0215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0.197336566913465</v>
      </c>
    </row>
    <row r="7" spans="1:2" x14ac:dyDescent="0.25">
      <c r="A7" t="s">
        <v>66</v>
      </c>
      <c r="B7" s="18">
        <f>-MAX(B5,0)*B6</f>
        <v>-13166226719.09957</v>
      </c>
    </row>
    <row r="8" spans="1:2" x14ac:dyDescent="0.25">
      <c r="A8" t="s">
        <v>67</v>
      </c>
      <c r="B8" s="18">
        <f>IF(OR(Assumptions!$B$33=0,Assumptions!B12&lt;=0),B5,MAX(B5+B7,0))</f>
        <v>53553423495.92193</v>
      </c>
    </row>
    <row r="9" spans="1:2" x14ac:dyDescent="0.25">
      <c r="A9" t="s">
        <v>68</v>
      </c>
      <c r="B9" s="18">
        <f>B8*(1+Assumptions!B12)/(Assumptions!B26-Assumptions!B12)</f>
        <v>545812905832.97974</v>
      </c>
    </row>
    <row r="10" spans="1:2" x14ac:dyDescent="0.25">
      <c r="A10" t="s">
        <v>69</v>
      </c>
      <c r="B10" s="18">
        <f>B9/(1+Assumptions!B26)^(10-0.5*Assumptions!B32)</f>
        <v>177421372792.668</v>
      </c>
    </row>
    <row r="11" spans="1:2" x14ac:dyDescent="0.25">
      <c r="A11" t="s">
        <v>70</v>
      </c>
      <c r="B11" s="18">
        <f>Forecast!B17+B10</f>
        <v>255175916511.5548</v>
      </c>
    </row>
    <row r="12" spans="1:2" x14ac:dyDescent="0.25">
      <c r="A12" t="s">
        <v>71</v>
      </c>
      <c r="B12" s="18">
        <f>-Assumptions!B30</f>
        <v>38255000000</v>
      </c>
    </row>
    <row r="13" spans="1:2" x14ac:dyDescent="0.25">
      <c r="A13" t="s">
        <v>72</v>
      </c>
      <c r="B13" s="18">
        <f>B11+B12</f>
        <v>293430916511.5548</v>
      </c>
    </row>
    <row r="14" spans="1:2" x14ac:dyDescent="0.25">
      <c r="A14" s="19" t="s">
        <v>73</v>
      </c>
      <c r="B14" s="24">
        <f>B13/Assumptions!B31</f>
        <v>256.7199619523664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199833703689.92487</v>
      </c>
    </row>
    <row r="18" spans="1:2" x14ac:dyDescent="0.25">
      <c r="A18" t="s">
        <v>68</v>
      </c>
      <c r="B18" s="18">
        <f>B17*Assumptions!B13</f>
        <v>1767610031272.7156</v>
      </c>
    </row>
    <row r="19" spans="1:2" x14ac:dyDescent="0.25">
      <c r="A19" t="s">
        <v>69</v>
      </c>
      <c r="B19" s="18">
        <f>B18/(1+Assumptions!B26)^(10-0.5*Assumptions!B32)</f>
        <v>574577469603.59</v>
      </c>
    </row>
    <row r="20" spans="1:2" x14ac:dyDescent="0.25">
      <c r="A20" t="s">
        <v>70</v>
      </c>
      <c r="B20" s="18">
        <f>Forecast!B17+B19</f>
        <v>652332013322.4768</v>
      </c>
    </row>
    <row r="21" spans="1:2" x14ac:dyDescent="0.25">
      <c r="A21" t="s">
        <v>71</v>
      </c>
      <c r="B21" s="18">
        <f>-Assumptions!B30</f>
        <v>38255000000</v>
      </c>
    </row>
    <row r="22" spans="1:2" x14ac:dyDescent="0.25">
      <c r="A22" t="s">
        <v>72</v>
      </c>
      <c r="B22" s="18">
        <f>B20+B21</f>
        <v>690587013322.4768</v>
      </c>
    </row>
    <row r="23" spans="1:2" x14ac:dyDescent="0.25">
      <c r="A23" s="19" t="s">
        <v>73</v>
      </c>
      <c r="B23" s="25">
        <f>B22/Assumptions!B31</f>
        <v>604.1881131430243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884.74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256.7199619523664</v>
      </c>
    </row>
    <row r="29" spans="1:2" x14ac:dyDescent="0.25">
      <c r="A29" s="19" t="s">
        <v>81</v>
      </c>
      <c r="B29" s="11">
        <f>B28/B26-1</f>
        <v>-0.7098357009377145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0.10557</v>
      </c>
      <c r="B5" s="31">
        <v>344.1011710972487</v>
      </c>
      <c r="C5" s="31">
        <v>342.6085259987969</v>
      </c>
      <c r="D5" s="31">
        <v>341.44786500756067</v>
      </c>
      <c r="E5" s="31">
        <v>340.6850841352942</v>
      </c>
      <c r="F5" s="31">
        <v>340.40475475488273</v>
      </c>
    </row>
    <row r="6" spans="1:6" x14ac:dyDescent="0.25">
      <c r="A6" s="30">
        <v>0.11557</v>
      </c>
      <c r="B6" s="31">
        <v>299.6946517145702</v>
      </c>
      <c r="C6" s="31">
        <v>296.80055156693544</v>
      </c>
      <c r="D6" s="31">
        <v>294.0225801538642</v>
      </c>
      <c r="E6" s="31">
        <v>291.38109427117837</v>
      </c>
      <c r="F6" s="31">
        <v>288.90150390964067</v>
      </c>
    </row>
    <row r="7" spans="1:6" x14ac:dyDescent="0.25">
      <c r="A7" s="30">
        <v>0.12557</v>
      </c>
      <c r="B7" s="31">
        <v>264.02788424825746</v>
      </c>
      <c r="C7" s="31">
        <v>260.3694711454439</v>
      </c>
      <c r="D7" s="32">
        <v>256.7190790642271</v>
      </c>
      <c r="E7" s="31">
        <v>253.07796692816007</v>
      </c>
      <c r="F7" s="31">
        <v>249.44767166091773</v>
      </c>
    </row>
    <row r="8" spans="1:6" x14ac:dyDescent="0.25">
      <c r="A8" s="30">
        <v>0.13557</v>
      </c>
      <c r="B8" s="31">
        <v>236.84920007257207</v>
      </c>
      <c r="C8" s="31">
        <v>233.53563435374633</v>
      </c>
      <c r="D8" s="31">
        <v>230.22206863492048</v>
      </c>
      <c r="E8" s="31">
        <v>226.90850291609476</v>
      </c>
      <c r="F8" s="31">
        <v>223.59493719726893</v>
      </c>
    </row>
    <row r="9" spans="1:6" x14ac:dyDescent="0.25">
      <c r="A9" s="30">
        <v>0.14557</v>
      </c>
      <c r="B9" s="31">
        <v>214.17773739748506</v>
      </c>
      <c r="C9" s="31">
        <v>211.2489763125241</v>
      </c>
      <c r="D9" s="31">
        <v>208.32021522756304</v>
      </c>
      <c r="E9" s="31">
        <v>205.391454142602</v>
      </c>
      <c r="F9" s="31">
        <v>202.46269305764096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133188000000</v>
      </c>
      <c r="C5" s="18">
        <v>37378000000</v>
      </c>
      <c r="D5" s="18">
        <v>25111000000</v>
      </c>
      <c r="E5" s="18">
        <v>15540000000</v>
      </c>
      <c r="F5" s="6" t="s">
        <v>91</v>
      </c>
    </row>
    <row r="6" spans="1:6" x14ac:dyDescent="0.25">
      <c r="A6" t="s">
        <v>51</v>
      </c>
      <c r="B6" s="18">
        <v>99340000000</v>
      </c>
      <c r="C6" s="18">
        <v>9770000000</v>
      </c>
      <c r="D6" s="18">
        <v>1304000000</v>
      </c>
      <c r="E6" s="18">
        <v>-5405000000</v>
      </c>
      <c r="F6" s="6" t="s">
        <v>92</v>
      </c>
    </row>
    <row r="7" spans="1:6" x14ac:dyDescent="0.25">
      <c r="A7" t="s">
        <v>93</v>
      </c>
      <c r="B7" s="18">
        <v>9503000000</v>
      </c>
      <c r="C7" s="18">
        <v>8352000000</v>
      </c>
      <c r="D7" s="18">
        <v>7780000000</v>
      </c>
      <c r="E7" s="18">
        <v>7756000000</v>
      </c>
      <c r="F7" s="6" t="s">
        <v>94</v>
      </c>
    </row>
    <row r="8" spans="1:6" x14ac:dyDescent="0.25">
      <c r="A8" t="s">
        <v>95</v>
      </c>
      <c r="B8" s="18">
        <v>30712000000</v>
      </c>
      <c r="C8" s="18">
        <v>15857000000</v>
      </c>
      <c r="D8" s="18">
        <v>8386000000</v>
      </c>
      <c r="E8" s="18">
        <v>7676000000</v>
      </c>
      <c r="F8" s="6" t="s">
        <v>96</v>
      </c>
    </row>
    <row r="9" spans="1:6" x14ac:dyDescent="0.25">
      <c r="A9" t="s">
        <v>97</v>
      </c>
      <c r="B9" s="18">
        <v>5742000000</v>
      </c>
      <c r="C9" s="18">
        <v>285000000</v>
      </c>
      <c r="D9" s="18">
        <v>1089000000</v>
      </c>
      <c r="E9" s="18">
        <v>2911000000</v>
      </c>
      <c r="F9" s="6" t="s">
        <v>98</v>
      </c>
    </row>
    <row r="10" spans="1:6" x14ac:dyDescent="0.25">
      <c r="A10" t="s">
        <v>99</v>
      </c>
      <c r="B10" s="18">
        <v>5179000000</v>
      </c>
      <c r="C10" s="18">
        <v>14577000000</v>
      </c>
      <c r="D10" s="18">
        <v>14007000000</v>
      </c>
      <c r="E10" s="18">
        <v>13933000000</v>
      </c>
      <c r="F10" s="6" t="s">
        <v>100</v>
      </c>
    </row>
    <row r="11" spans="1:6" x14ac:dyDescent="0.25">
      <c r="A11" t="s">
        <v>101</v>
      </c>
      <c r="B11" s="18">
        <v>43434000000</v>
      </c>
      <c r="C11" s="18">
        <v>10307000000</v>
      </c>
      <c r="D11" s="18">
        <v>8106000000</v>
      </c>
      <c r="E11" s="18">
        <v>9594000000</v>
      </c>
      <c r="F11" s="6" t="s">
        <v>102</v>
      </c>
    </row>
    <row r="12" spans="1:6" x14ac:dyDescent="0.25">
      <c r="A12" t="s">
        <v>34</v>
      </c>
      <c r="B12" s="34">
        <v>1143000000</v>
      </c>
      <c r="C12" s="34">
        <v>1125000000</v>
      </c>
      <c r="D12" s="34">
        <v>1118000000</v>
      </c>
      <c r="E12" s="34">
        <v>1093000000</v>
      </c>
      <c r="F12" s="6" t="s">
        <v>103</v>
      </c>
    </row>
    <row r="15" spans="1:1" x14ac:dyDescent="0.25">
      <c r="A15" s="19" t="s">
        <v>104</v>
      </c>
    </row>
    <row r="16" ht="22" customHeight="1" spans="1:6" x14ac:dyDescent="0.25">
      <c r="A16" s="35" t="s">
        <v>105</v>
      </c>
      <c r="B16" s="35"/>
      <c r="C16" s="35"/>
      <c r="D16" s="35"/>
      <c r="E16" s="35"/>
      <c r="F16" s="35"/>
    </row>
    <row r="17" ht="54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