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<sst xmlns="http://schemas.openxmlformats.org/spreadsheetml/2006/main" count="116" uniqueCount="104">
  <si>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Münchener Rückversicherungs-Gesellschaft Aktiengesellschaft in München (MUV2.DE)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</si>
  <si>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</si>
  <si>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</si>
  <si>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</si>
  <si>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</si>
  <si>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</si>
  <si>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</si>
  <si>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</si>
  <si>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</si>
  <si>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</si>
  <si>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</si>
  <si>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</si>
  <si>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</si>
  <si>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</si>
  <si>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</si>
  <si>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</si>
  <si>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</si>
  <si>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</si>
  <si>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</si>
  <si>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</si>
  <si>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</si>
  <si>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</si>
  <si>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</si>
  <si>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</si>
  <si>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</si>
  <si>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</si>
  <si>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</si>
  <si>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</si>
  <si>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</si>
  <si>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</si>
  <si>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</si>
  <si>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</si>
  <si>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</si>
  <si>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</si>
  <si>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</si>
  <si>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</si>
  <si>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</si>
  <si>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</si>
  <si>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</si>
  <si>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</si>
  <si>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</si>
  <si>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</si>
  <si>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</si>
  <si>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</si>
  <si>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</si>
  <si>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</si>
  <si>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</si>
  <si>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</si>
  <si>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</si>
  <si>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</si>
  <si>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</si>
  <si>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</si>
  <si>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</si>
  <si>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</si>
  <si>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</si>
  <si>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</si>
  <si>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</si>
  <si>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</si>
  <si>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</si>
  <si>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</si>
  <si>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</si>
  <si>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</si>
  <si>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</si>
  <si>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</si>
  <si>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</si>
  <si>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</si>
  <si>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</si>
  <si>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</si>
  <si>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</si>
  <si>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</si>
  <si>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</si>
  <si>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</si>
  <si>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</si>
  <si>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</si>
  <si>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</si>
  <si>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</si>
  <si>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</si>
  <si>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</si>
  <si>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</si>
  <si>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</si>
  <si>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</si>
  <si>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</si>
  <si>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</si>
  <si>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</si>
  <si>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</si>
  <si>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</si>
  <si>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</si>
  <si>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</si>
  <si>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</si>
  <si>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</si>
  <si>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</si>
  <si>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</si>
  <si>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</si>
  <si>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</si>
  <si>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</si>
  <si>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</si>
  <si>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</si>
  <si>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</si>
  <si>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</si>
  <si>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Consensus rests on as few as 2 analyst estimate(s).</t>
  </si>
  <si>
    <t>Adjusted: Reported capital expenditure averages just 0.54% of revenue, which is too low to be the company's real investment - property trusts and similar structures invest through lines that are not reported as capex. Capex has been set to 1.67% of revenue so the forecast is not handed free growth. Override it if the reported figure is right.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</si>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</sst>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0.026867014076916718</v>
      </c>
    </row>
    <row r="7" spans="1:2" x14ac:dyDescent="0.25">
      <c r="A7" t="s">
        <v>5</v>
      </c>
      <c r="B7" s="6">
        <v>0.11689628319826312</v>
      </c>
    </row>
    <row r="8" spans="1:2" x14ac:dyDescent="0.25">
      <c r="A8" t="s">
        <v>6</v>
      </c>
      <c r="B8" s="6">
        <v>0.23458994859522886</v>
      </c>
    </row>
    <row r="9" spans="1:2" x14ac:dyDescent="0.25">
      <c r="A9" t="s">
        <v>7</v>
      </c>
      <c r="B9" s="6">
        <v>0.01670849815009048</v>
      </c>
    </row>
    <row r="10" spans="1:2" x14ac:dyDescent="0.25">
      <c r="A10" t="s">
        <v>8</v>
      </c>
      <c r="B10" s="6">
        <v>0.01670849815009048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0.15593375198687215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0.54775</v>
      </c>
      <c r="C19" s="8" t="s">
        <v>19</v>
      </c>
    </row>
    <row r="20" spans="1:2" x14ac:dyDescent="0.25">
      <c r="A20" t="s">
        <v>20</v>
      </c>
      <c r="B20" s="10">
        <f>B17+B19*B18</f>
        <v>0.058865</v>
      </c>
    </row>
    <row r="21" spans="1:3" x14ac:dyDescent="0.25">
      <c r="A21" t="s">
        <v>21</v>
      </c>
      <c r="B21" s="6">
        <v>0.05365321701199564</v>
      </c>
      <c r="C21" s="8" t="s">
        <v>22</v>
      </c>
    </row>
    <row r="22" spans="1:2" x14ac:dyDescent="0.25">
      <c r="A22" t="s">
        <v>23</v>
      </c>
      <c r="B22" s="11">
        <v>63636955136</v>
      </c>
    </row>
    <row r="23" spans="1:2" x14ac:dyDescent="0.25">
      <c r="A23" t="s">
        <v>24</v>
      </c>
      <c r="B23" s="11">
        <v>7434000000</v>
      </c>
    </row>
    <row r="24" spans="1:2" x14ac:dyDescent="0.25">
      <c r="A24" t="s">
        <v>25</v>
      </c>
      <c r="B24" s="10">
        <f>B22/(B22+B23)</f>
        <v>0.8954003082444236</v>
      </c>
    </row>
    <row r="25" spans="1:2" x14ac:dyDescent="0.25">
      <c r="A25" t="s">
        <v>26</v>
      </c>
      <c r="B25" s="10">
        <f>1-B24</f>
        <v>0.10459969175557637</v>
      </c>
    </row>
    <row r="26" spans="1:2" x14ac:dyDescent="0.25">
      <c r="A26" t="s">
        <v>27</v>
      </c>
      <c r="B26" s="12">
        <f>B24*B20+B25*B21*(1-B8)</f>
        <v>0.05700330451866088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62310000000</v>
      </c>
      <c r="C29" s="8" t="s">
        <v>30</v>
      </c>
    </row>
    <row r="30" spans="1:2" x14ac:dyDescent="0.25">
      <c r="A30" t="s">
        <v>31</v>
      </c>
      <c r="B30" s="11">
        <v>-168768000000</v>
      </c>
    </row>
    <row r="31" spans="1:2" x14ac:dyDescent="0.25">
      <c r="A31" t="s">
        <v>32</v>
      </c>
      <c r="B31" s="13">
        <v>129745410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0.026867014076916718</v>
      </c>
      <c r="C5" s="10">
        <f>Assumptions!B6</f>
        <v>0.026867014076916718</v>
      </c>
      <c r="D5" s="10">
        <f>Assumptions!B6</f>
        <v>0.026867014076916718</v>
      </c>
      <c r="E5" s="10">
        <f>Assumptions!B6</f>
        <v>0.026867014076916718</v>
      </c>
      <c r="F5" s="10">
        <f>Assumptions!B6</f>
        <v>0.026867014076916718</v>
      </c>
    </row>
    <row r="6" spans="1:6" x14ac:dyDescent="0.25">
      <c r="A6" t="s">
        <v>43</v>
      </c>
      <c r="B6" s="18">
        <f>Assumptions!B29*(1+B5)</f>
        <v>63984083647.13268</v>
      </c>
      <c r="C6" s="18">
        <f>B6*(1+C5)</f>
        <v>65703144923.17881</v>
      </c>
      <c r="D6" s="18">
        <f>C6*(1+D5)</f>
        <v>67468392242.727554</v>
      </c>
      <c r="E6" s="18">
        <f>D6*(1+E5)</f>
        <v>69281066486.85985</v>
      </c>
      <c r="F6" s="18">
        <f>E6*(1+F5)</f>
        <v>71142441875.42612</v>
      </c>
    </row>
    <row r="7" spans="1:6" x14ac:dyDescent="0.25">
      <c r="A7" t="s">
        <v>5</v>
      </c>
      <c r="B7" s="10">
        <f>Assumptions!B7</f>
        <v>0.11689628319826312</v>
      </c>
      <c r="C7" s="10">
        <f>Assumptions!B7</f>
        <v>0.11689628319826312</v>
      </c>
      <c r="D7" s="10">
        <f>Assumptions!B7</f>
        <v>0.11689628319826312</v>
      </c>
      <c r="E7" s="10">
        <f>Assumptions!B7</f>
        <v>0.11689628319826312</v>
      </c>
      <c r="F7" s="10">
        <f>Assumptions!B7</f>
        <v>0.11689628319826312</v>
      </c>
    </row>
    <row r="8" spans="1:6" x14ac:dyDescent="0.25">
      <c r="A8" t="s">
        <v>44</v>
      </c>
      <c r="B8" s="18">
        <f>B6*B7</f>
        <v>7479501562.196578</v>
      </c>
      <c r="C8" s="18">
        <f>C6*C7</f>
        <v>7680453435.956434</v>
      </c>
      <c r="D8" s="18">
        <f>D6*D7</f>
        <v>7886804286.537378</v>
      </c>
      <c r="E8" s="18">
        <f>E6*E7</f>
        <v>8098699168.3256645</v>
      </c>
      <c r="F8" s="18">
        <f>F6*F7</f>
        <v>8316287032.885784</v>
      </c>
    </row>
    <row r="9" spans="1:6" x14ac:dyDescent="0.25">
      <c r="A9" t="s">
        <v>45</v>
      </c>
      <c r="B9" s="18">
        <f>B8*(1-Assumptions!B8)</f>
        <v>5724885675.202949</v>
      </c>
      <c r="C9" s="18">
        <f>C8*(1-Assumptions!B8)</f>
        <v>5878696259.2273655</v>
      </c>
      <c r="D9" s="18">
        <f>D8*(1-Assumptions!B8)</f>
        <v>6036639274.377944</v>
      </c>
      <c r="E9" s="18">
        <f>E8*(1-Assumptions!B8)</f>
        <v>6198825746.739924</v>
      </c>
      <c r="F9" s="18">
        <f>F8*(1-Assumptions!B8)</f>
        <v>6365369685.337939</v>
      </c>
    </row>
    <row r="10" spans="1:6" x14ac:dyDescent="0.25">
      <c r="A10" t="s">
        <v>46</v>
      </c>
      <c r="B10" s="18">
        <f>B6*Assumptions!B9</f>
        <v>1069077943.253351</v>
      </c>
      <c r="C10" s="18">
        <f>C6*Assumptions!B9</f>
        <v>1097800875.40406</v>
      </c>
      <c r="D10" s="18">
        <f>D6*Assumptions!B9</f>
        <v>1127295506.9771922</v>
      </c>
      <c r="E10" s="18">
        <f>E6*Assumptions!B9</f>
        <v>1157582571.2319934</v>
      </c>
      <c r="F10" s="18">
        <f>F6*Assumptions!B9</f>
        <v>1188683358.4684768</v>
      </c>
    </row>
    <row r="11" spans="1:6" x14ac:dyDescent="0.25">
      <c r="A11" t="s">
        <v>47</v>
      </c>
      <c r="B11" s="18">
        <f>-B6*Assumptions!B10</f>
        <v>-1069077943.253351</v>
      </c>
      <c r="C11" s="18">
        <f>-C6*Assumptions!B10</f>
        <v>-1097800875.40406</v>
      </c>
      <c r="D11" s="18">
        <f>-D6*Assumptions!B10</f>
        <v>-1127295506.9771922</v>
      </c>
      <c r="E11" s="18">
        <f>-E6*Assumptions!B10</f>
        <v>-1157582571.2319934</v>
      </c>
      <c r="F11" s="18">
        <f>-F6*Assumptions!B10</f>
        <v>-1188683358.4684768</v>
      </c>
    </row>
    <row r="12" spans="1:6" x14ac:dyDescent="0.25">
      <c r="A12" t="s">
        <v>48</v>
      </c>
      <c r="B12" s="18">
        <f>-(B6-Assumptions!B29)*Assumptions!B11</f>
        <v>-1674083647.1326828</v>
      </c>
      <c r="C12" s="18">
        <f>-(C6-B6)*Assumptions!B11</f>
        <v>-1719061276.0461273</v>
      </c>
      <c r="D12" s="18">
        <f>-(D6-C6)*Assumptions!B11</f>
        <v>-1765247319.5487442</v>
      </c>
      <c r="E12" s="18">
        <f>-(E6-D6)*Assumptions!B11</f>
        <v>-1812674244.1322937</v>
      </c>
      <c r="F12" s="18">
        <f>-(F6-E6)*Assumptions!B11</f>
        <v>-1861375388.566269</v>
      </c>
    </row>
    <row r="13" spans="1:6" x14ac:dyDescent="0.25">
      <c r="A13" s="19" t="s">
        <v>49</v>
      </c>
      <c r="B13" s="20">
        <f>B9+B10+B11+B12</f>
        <v>4050802028.070266</v>
      </c>
      <c r="C13" s="20">
        <f>C9+C10+C11+C12</f>
        <v>4159634983.181238</v>
      </c>
      <c r="D13" s="20">
        <f>D9+D10+D11+D12</f>
        <v>4271391954.8292</v>
      </c>
      <c r="E13" s="20">
        <f>E9+E10+E11+E12</f>
        <v>4386151502.607631</v>
      </c>
      <c r="F13" s="20">
        <f>F9+F10+F11+F12</f>
        <v>4503994296.771669</v>
      </c>
    </row>
    <row r="14" spans="1:6" x14ac:dyDescent="0.25">
      <c r="A14" t="s">
        <v>50</v>
      </c>
      <c r="B14" s="21">
        <f>1/(1+Assumptions!$B$26)^(1-0.5*Assumptions!$B$32)</f>
        <v>0.9726617274454415</v>
      </c>
      <c r="C14" s="21">
        <f>1/(1+Assumptions!$B$26)^(2-0.5*Assumptions!$B$32)</f>
        <v>0.9202068936656476</v>
      </c>
      <c r="D14" s="21">
        <f>1/(1+Assumptions!$B$26)^(3-0.5*Assumptions!$B$32)</f>
        <v>0.8705809052174082</v>
      </c>
      <c r="E14" s="21">
        <f>1/(1+Assumptions!$B$26)^(4-0.5*Assumptions!$B$32)</f>
        <v>0.8236312048370125</v>
      </c>
      <c r="F14" s="21">
        <f>1/(1+Assumptions!$B$26)^(5-0.5*Assumptions!$B$32)</f>
        <v>0.7792134625464376</v>
      </c>
    </row>
    <row r="15" spans="1:6" x14ac:dyDescent="0.25">
      <c r="A15" s="19" t="s">
        <v>51</v>
      </c>
      <c r="B15" s="20">
        <f>B13*B14</f>
        <v>3940060098.1623225</v>
      </c>
      <c r="C15" s="20">
        <f>C13*C14</f>
        <v>3827724786.656165</v>
      </c>
      <c r="D15" s="20">
        <f>D13*D14</f>
        <v>3718592274.5735593</v>
      </c>
      <c r="E15" s="20">
        <f>E13*E14</f>
        <v>3612571246.6903954</v>
      </c>
      <c r="F15" s="20">
        <f>F13*F14</f>
        <v>3509572991.2768598</v>
      </c>
    </row>
    <row r="17" spans="1:2" x14ac:dyDescent="0.25">
      <c r="A17" s="22" t="s">
        <v>52</v>
      </c>
      <c r="B17" s="23">
        <f>SUM(B15:F15)</f>
        <v>18608521397.359303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4503994296.771669</v>
      </c>
    </row>
    <row r="5" spans="1:2" x14ac:dyDescent="0.25">
      <c r="A5" t="s">
        <v>56</v>
      </c>
      <c r="B5" s="18">
        <f>IF(Assumptions!$B$33=0,B4,B4-Forecast!F11-Forecast!F10-Forecast!F12)</f>
        <v>6365369685.337939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0.16032449473866772</v>
      </c>
    </row>
    <row r="7" spans="1:2" x14ac:dyDescent="0.25">
      <c r="A7" t="s">
        <v>58</v>
      </c>
      <c r="B7" s="18">
        <f>-MAX(Forecast!F9,0)*B6</f>
        <v>-1020524678.6266375</v>
      </c>
    </row>
    <row r="8" spans="1:2" x14ac:dyDescent="0.25">
      <c r="A8" t="s">
        <v>59</v>
      </c>
      <c r="B8" s="18">
        <f>IF(OR(Assumptions!$B$33=0,Assumptions!B12&lt;=0),B5,MAX(B5+B7,0))</f>
        <v>5344845006.711302</v>
      </c>
    </row>
    <row r="9" spans="1:2" x14ac:dyDescent="0.25">
      <c r="A9" t="s">
        <v>60</v>
      </c>
      <c r="B9" s="18">
        <f>B8*(1+Assumptions!B12)/(Assumptions!B26-Assumptions!B12)</f>
        <v>171184389058.46838</v>
      </c>
    </row>
    <row r="10" spans="1:2" x14ac:dyDescent="0.25">
      <c r="A10" t="s">
        <v>61</v>
      </c>
      <c r="B10" s="18">
        <f>B9/(1+Assumptions!B26)^(5-0.5*Assumptions!B32)</f>
        <v>133389180532.14566</v>
      </c>
    </row>
    <row r="11" spans="1:2" x14ac:dyDescent="0.25">
      <c r="A11" t="s">
        <v>62</v>
      </c>
      <c r="B11" s="18">
        <f>Forecast!B17+B10</f>
        <v>151997701929.50497</v>
      </c>
    </row>
    <row r="12" spans="1:2" x14ac:dyDescent="0.25">
      <c r="A12" t="s">
        <v>63</v>
      </c>
      <c r="B12" s="18">
        <f>-Assumptions!B30</f>
        <v>168768000000.00003</v>
      </c>
    </row>
    <row r="13" spans="1:2" x14ac:dyDescent="0.25">
      <c r="A13" t="s">
        <v>64</v>
      </c>
      <c r="B13" s="18">
        <f>B11+B12</f>
        <v>320765701929.505</v>
      </c>
    </row>
    <row r="14" spans="1:2" x14ac:dyDescent="0.25">
      <c r="A14" s="19" t="s">
        <v>65</v>
      </c>
      <c r="B14" s="24">
        <f>B13/Assumptions!B31</f>
        <v>2472.2701321727295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9504970391.354261</v>
      </c>
    </row>
    <row r="18" spans="1:2" x14ac:dyDescent="0.25">
      <c r="A18" t="s">
        <v>60</v>
      </c>
      <c r="B18" s="18">
        <f>B17*Assumptions!B13</f>
        <v>76039763130.83409</v>
      </c>
    </row>
    <row r="19" spans="1:2" x14ac:dyDescent="0.25">
      <c r="A19" t="s">
        <v>61</v>
      </c>
      <c r="B19" s="18">
        <f>B18/(1+Assumptions!B26)^(5-0.5*Assumptions!B32)</f>
        <v>59251207120.38818</v>
      </c>
    </row>
    <row r="20" spans="1:2" x14ac:dyDescent="0.25">
      <c r="A20" t="s">
        <v>62</v>
      </c>
      <c r="B20" s="18">
        <f>Forecast!B17+B19</f>
        <v>77859728517.74748</v>
      </c>
    </row>
    <row r="21" spans="1:2" x14ac:dyDescent="0.25">
      <c r="A21" t="s">
        <v>63</v>
      </c>
      <c r="B21" s="18">
        <f>-Assumptions!B30</f>
        <v>168768000000</v>
      </c>
    </row>
    <row r="22" spans="1:2" x14ac:dyDescent="0.25">
      <c r="A22" t="s">
        <v>64</v>
      </c>
      <c r="B22" s="18">
        <f>B20+B21</f>
        <v>246627728517.7475</v>
      </c>
    </row>
    <row r="23" spans="1:2" x14ac:dyDescent="0.25">
      <c r="A23" s="19" t="s">
        <v>65</v>
      </c>
      <c r="B23" s="25">
        <f>B22/Assumptions!B31</f>
        <v>1900.8589862080478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505.8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2472.2701321727295</v>
      </c>
    </row>
    <row r="29" spans="1:2" x14ac:dyDescent="0.25">
      <c r="A29" s="19" t="s">
        <v>73</v>
      </c>
      <c r="B29" s="12">
        <f>B28/B26-1</f>
        <v>3.8878413052050798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0.037003</v>
      </c>
      <c r="B5" s="31">
        <v>3188.0137115361877</v>
      </c>
      <c r="C5" s="31">
        <v>3629.71999423386</v>
      </c>
      <c r="D5" s="31">
        <v>4438.309932614142</v>
      </c>
      <c r="E5" s="31">
        <v>6399.625999222971</v>
      </c>
      <c r="F5" s="31">
        <v>18146.165409950627</v>
      </c>
    </row>
    <row r="6" spans="1:6" x14ac:dyDescent="0.25">
      <c r="A6" s="30">
        <v>0.047003</v>
      </c>
      <c r="B6" s="31">
        <v>2591.278691885744</v>
      </c>
      <c r="C6" s="31">
        <v>2761.4043642868382</v>
      </c>
      <c r="D6" s="31">
        <v>3008.267892144303</v>
      </c>
      <c r="E6" s="31">
        <v>3399.567201226862</v>
      </c>
      <c r="F6" s="31">
        <v>4115.801893165472</v>
      </c>
    </row>
    <row r="7" spans="1:6" x14ac:dyDescent="0.25">
      <c r="A7" s="30">
        <v>0.057003</v>
      </c>
      <c r="B7" s="31">
        <v>2279.11467287277</v>
      </c>
      <c r="C7" s="31">
        <v>2362.8129012384084</v>
      </c>
      <c r="D7" s="32">
        <v>2472.2813484826297</v>
      </c>
      <c r="E7" s="31">
        <v>2621.835212293795</v>
      </c>
      <c r="F7" s="31">
        <v>2838.801732071264</v>
      </c>
    </row>
    <row r="8" spans="1:6" x14ac:dyDescent="0.25">
      <c r="A8" s="30">
        <v>0.067003</v>
      </c>
      <c r="B8" s="31">
        <v>2087.3342716924603</v>
      </c>
      <c r="C8" s="31">
        <v>2134.1212795819874</v>
      </c>
      <c r="D8" s="31">
        <v>2191.7675276968957</v>
      </c>
      <c r="E8" s="31">
        <v>2264.6750538011706</v>
      </c>
      <c r="F8" s="31">
        <v>2359.9969113535653</v>
      </c>
    </row>
    <row r="9" spans="1:6" x14ac:dyDescent="0.25">
      <c r="A9" s="30">
        <v>0.077003</v>
      </c>
      <c r="B9" s="31">
        <v>1957.6735451114691</v>
      </c>
      <c r="C9" s="31">
        <v>1985.8982415366258</v>
      </c>
      <c r="D9" s="31">
        <v>2019.3338019177183</v>
      </c>
      <c r="E9" s="31">
        <v>2059.64316179799</v>
      </c>
      <c r="F9" s="31">
        <v>2109.2810742305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62310000000</v>
      </c>
      <c r="C5" s="18">
        <v>64424000000</v>
      </c>
      <c r="D5" s="18">
        <v>59515000000</v>
      </c>
      <c r="E5" s="18">
        <v>57546000000</v>
      </c>
      <c r="F5" s="8" t="s">
        <v>84</v>
      </c>
    </row>
    <row r="6" spans="1:6" x14ac:dyDescent="0.25">
      <c r="A6" t="s">
        <v>44</v>
      </c>
      <c r="B6" s="18">
        <v>8626000000</v>
      </c>
      <c r="C6" s="18">
        <v>7791000000</v>
      </c>
      <c r="D6" s="18">
        <v>5533000000</v>
      </c>
      <c r="E6" s="18">
        <v>6632000000</v>
      </c>
      <c r="F6" s="8" t="s">
        <v>85</v>
      </c>
    </row>
    <row r="7" spans="1:6" x14ac:dyDescent="0.25">
      <c r="A7" t="s">
        <v>86</v>
      </c>
      <c r="B7" s="18">
        <v>359000000</v>
      </c>
      <c r="C7" s="18">
        <v>375000000</v>
      </c>
      <c r="D7" s="18">
        <v>317000000</v>
      </c>
      <c r="E7" s="18">
        <v>2873000000</v>
      </c>
      <c r="F7" s="8" t="s">
        <v>87</v>
      </c>
    </row>
    <row r="8" spans="1:6" x14ac:dyDescent="0.25">
      <c r="A8" t="s">
        <v>88</v>
      </c>
      <c r="B8" s="18">
        <v>300000000</v>
      </c>
      <c r="C8" s="18">
        <v>316000000</v>
      </c>
      <c r="D8" s="18">
        <v>346000000</v>
      </c>
      <c r="E8" s="18">
        <v>349000000</v>
      </c>
      <c r="F8" s="8" t="s">
        <v>89</v>
      </c>
    </row>
    <row r="9" spans="1:6" x14ac:dyDescent="0.25">
      <c r="A9" t="s">
        <v>90</v>
      </c>
      <c r="B9" s="18">
        <v>3663000000</v>
      </c>
      <c r="C9" s="18">
        <v>5782000000</v>
      </c>
      <c r="D9" s="18">
        <v>5297000000</v>
      </c>
      <c r="E9" s="18">
        <v>9861000000</v>
      </c>
      <c r="F9" s="8" t="s">
        <v>91</v>
      </c>
    </row>
    <row r="10" spans="1:6" x14ac:dyDescent="0.25">
      <c r="A10" t="s">
        <v>92</v>
      </c>
      <c r="B10" s="18">
        <v>7434000000</v>
      </c>
      <c r="C10" s="18">
        <v>6321000000</v>
      </c>
      <c r="D10" s="18">
        <v>4713000000</v>
      </c>
      <c r="E10" s="18">
        <v>4748000000</v>
      </c>
      <c r="F10" s="8" t="s">
        <v>93</v>
      </c>
    </row>
    <row r="11" spans="1:6" x14ac:dyDescent="0.25">
      <c r="A11" t="s">
        <v>94</v>
      </c>
      <c r="B11" s="18">
        <v>176202000000</v>
      </c>
      <c r="C11" s="18">
        <v>9271000000</v>
      </c>
      <c r="D11" s="18">
        <v>8570000000</v>
      </c>
      <c r="E11" s="18">
        <v>146855000000</v>
      </c>
      <c r="F11" s="8" t="s">
        <v>95</v>
      </c>
    </row>
    <row r="12" spans="1:6" x14ac:dyDescent="0.25">
      <c r="A12" t="s">
        <v>32</v>
      </c>
      <c r="B12" s="34">
        <v>129745410</v>
      </c>
      <c r="C12" s="34">
        <v>132886198</v>
      </c>
      <c r="D12" s="34">
        <v>135976812</v>
      </c>
      <c r="E12" s="34">
        <v>139364438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2026-09-19T00:09:35Z</dcterms:modified>
</cp:coreProperties>
</file>