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<sst xmlns="http://schemas.openxmlformats.org/spreadsheetml/2006/main" count="116" uniqueCount="103">
  <si>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National Australia Bank Limited (NAB.AX)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</si>
  <si>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</si>
  <si>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</si>
  <si>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</si>
  <si>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</si>
  <si>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</si>
  <si>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</si>
  <si>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</si>
  <si>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</si>
  <si>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</si>
  <si>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</si>
  <si>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</si>
  <si>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</si>
  <si>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</si>
  <si>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</si>
  <si>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</si>
  <si>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</si>
  <si>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</si>
  <si>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</si>
  <si>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</si>
  <si>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</si>
  <si>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</si>
  <si>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20.2%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</si>
  <si>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</si>
  <si>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</si>
  <si>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</si>
  <si>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</si>
  <si>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</si>
  <si>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</si>
  <si>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</si>
  <si>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</si>
  <si>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</si>
  <si>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</si>
  <si>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</si>
  <si>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</si>
  <si>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</si>
  <si>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</si>
  <si>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</si>
  <si>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</si>
  <si>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</si>
  <si>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</si>
  <si>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</si>
  <si>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</si>
  <si>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</si>
  <si>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</si>
  <si>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</si>
  <si>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</si>
  <si>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</si>
  <si>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</si>
  <si>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</si>
  <si>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</si>
  <si>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</si>
  <si>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</si>
  <si>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</si>
  <si>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</si>
  <si>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</si>
  <si>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</si>
  <si>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</si>
  <si>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</si>
  <si>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</si>
  <si>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</si>
  <si>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</si>
  <si>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</si>
  <si>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</si>
  <si>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</si>
  <si>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</si>
  <si>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</si>
  <si>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</si>
  <si>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</si>
  <si>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</si>
  <si>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</si>
  <si>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</si>
  <si>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</si>
  <si>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</si>
  <si>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</si>
  <si>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</si>
  <si>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</si>
  <si>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</si>
  <si>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</si>
  <si>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</si>
  <si>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2024-09-30</t>
  </si>
  <si>
    <t>2023-09-30</t>
  </si>
  <si>
    <t>2022-09-30</t>
  </si>
  <si>
    <t>2021-09-30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</si>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</sst>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0.07340695296309341</v>
      </c>
    </row>
    <row r="7" spans="1:2" x14ac:dyDescent="0.25">
      <c r="A7" t="s">
        <v>5</v>
      </c>
      <c r="B7" s="6">
        <v>0.5151399120910797</v>
      </c>
    </row>
    <row r="8" spans="1:2" x14ac:dyDescent="0.25">
      <c r="A8" t="s">
        <v>6</v>
      </c>
      <c r="B8" s="6">
        <v>0.2841972556934118</v>
      </c>
    </row>
    <row r="9" spans="1:2" x14ac:dyDescent="0.25">
      <c r="A9" t="s">
        <v>7</v>
      </c>
      <c r="B9" s="6">
        <v>0.061461269959501436</v>
      </c>
    </row>
    <row r="10" spans="1:2" x14ac:dyDescent="0.25">
      <c r="A10" t="s">
        <v>8</v>
      </c>
      <c r="B10" s="6">
        <v>0.05944161279441707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0.0525971856516481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0.80704</v>
      </c>
      <c r="C19" s="8" t="s">
        <v>19</v>
      </c>
    </row>
    <row r="20" spans="1:2" x14ac:dyDescent="0.25">
      <c r="A20" t="s">
        <v>20</v>
      </c>
      <c r="B20" s="10">
        <f>B17+B19*B18</f>
        <v>0.1019024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214292000000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0.0525971856516481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20632000000</v>
      </c>
      <c r="C29" s="8" t="s">
        <v>30</v>
      </c>
    </row>
    <row r="30" spans="1:2" x14ac:dyDescent="0.25">
      <c r="A30" t="s">
        <v>31</v>
      </c>
      <c r="B30" s="11">
        <v>101355000000</v>
      </c>
    </row>
    <row r="31" spans="1:2" x14ac:dyDescent="0.25">
      <c r="A31" t="s">
        <v>32</v>
      </c>
      <c r="B31" s="13">
        <v>3125280647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0.07340695296309341</v>
      </c>
      <c r="C5" s="10">
        <f>Assumptions!B6</f>
        <v>0.07340695296309341</v>
      </c>
      <c r="D5" s="10">
        <f>Assumptions!B6</f>
        <v>0.07340695296309341</v>
      </c>
      <c r="E5" s="10">
        <f>Assumptions!B6</f>
        <v>0.07340695296309341</v>
      </c>
      <c r="F5" s="10">
        <f>Assumptions!B6</f>
        <v>0.07340695296309341</v>
      </c>
    </row>
    <row r="6" spans="1:6" x14ac:dyDescent="0.25">
      <c r="A6" t="s">
        <v>43</v>
      </c>
      <c r="B6" s="18">
        <f>Assumptions!B29*(1+B5)</f>
        <v>22146532253.534542</v>
      </c>
      <c r="C6" s="18">
        <f>B6*(1+C5)</f>
        <v>23772241704.96538</v>
      </c>
      <c r="D6" s="18">
        <f>C6*(1+D5)</f>
        <v>25517289533.629063</v>
      </c>
      <c r="E6" s="18">
        <f>D6*(1+E5)</f>
        <v>27390436006.169807</v>
      </c>
      <c r="F6" s="18">
        <f>E6*(1+F5)</f>
        <v>29401084453.713333</v>
      </c>
    </row>
    <row r="7" spans="1:6" x14ac:dyDescent="0.25">
      <c r="A7" t="s">
        <v>5</v>
      </c>
      <c r="B7" s="10">
        <f>Assumptions!B7</f>
        <v>0.5151399120910797</v>
      </c>
      <c r="C7" s="10">
        <f>Assumptions!B7</f>
        <v>0.5151399120910797</v>
      </c>
      <c r="D7" s="10">
        <f>Assumptions!B7</f>
        <v>0.5151399120910797</v>
      </c>
      <c r="E7" s="10">
        <f>Assumptions!B7</f>
        <v>0.5151399120910797</v>
      </c>
      <c r="F7" s="10">
        <f>Assumptions!B7</f>
        <v>0.5151399120910797</v>
      </c>
    </row>
    <row r="8" spans="1:6" x14ac:dyDescent="0.25">
      <c r="A8" t="s">
        <v>44</v>
      </c>
      <c r="B8" s="18">
        <f>B6*B7</f>
        <v>11408562678.208044</v>
      </c>
      <c r="C8" s="18">
        <f>C6*C7</f>
        <v>12246030502.103765</v>
      </c>
      <c r="D8" s="18">
        <f>D6*D7</f>
        <v>13144974287.156303</v>
      </c>
      <c r="E8" s="18">
        <f>E6*E7</f>
        <v>14109906796.354658</v>
      </c>
      <c r="F8" s="18">
        <f>F6*F7</f>
        <v>15145672060.868296</v>
      </c>
    </row>
    <row r="9" spans="1:6" x14ac:dyDescent="0.25">
      <c r="A9" t="s">
        <v>45</v>
      </c>
      <c r="B9" s="18">
        <f>B8*(1-Assumptions!B8)</f>
        <v>8166280473.655038</v>
      </c>
      <c r="C9" s="18">
        <f>C8*(1-Assumptions!B8)</f>
        <v>8765742240.26806</v>
      </c>
      <c r="D9" s="18">
        <f>D8*(1-Assumptions!B8)</f>
        <v>9409208668.58602</v>
      </c>
      <c r="E9" s="18">
        <f>E8*(1-Assumptions!B8)</f>
        <v>10099910006.740845</v>
      </c>
      <c r="F9" s="18">
        <f>F8*(1-Assumptions!B8)</f>
        <v>10841313625.537146</v>
      </c>
    </row>
    <row r="10" spans="1:6" x14ac:dyDescent="0.25">
      <c r="A10" t="s">
        <v>46</v>
      </c>
      <c r="B10" s="18">
        <f>B6*Assumptions!B9</f>
        <v>1361153997.5012922</v>
      </c>
      <c r="C10" s="18">
        <f>C6*Assumptions!B9</f>
        <v>1461072164.971396</v>
      </c>
      <c r="D10" s="18">
        <f>D6*Assumptions!B9</f>
        <v>1568325020.6611364</v>
      </c>
      <c r="E10" s="18">
        <f>E6*Assumptions!B9</f>
        <v>1683450981.683651</v>
      </c>
      <c r="F10" s="18">
        <f>F6*Assumptions!B9</f>
        <v>1807027988.711776</v>
      </c>
    </row>
    <row r="11" spans="1:6" x14ac:dyDescent="0.25">
      <c r="A11" t="s">
        <v>47</v>
      </c>
      <c r="B11" s="18">
        <f>-B6*Assumptions!B10</f>
        <v>-1316425594.953669</v>
      </c>
      <c r="C11" s="18">
        <f>-C6*Assumptions!B10</f>
        <v>-1413060386.6818454</v>
      </c>
      <c r="D11" s="18">
        <f>-D6*Assumptions!B10</f>
        <v>-1516788844.0210102</v>
      </c>
      <c r="E11" s="18">
        <f>-E6*Assumptions!B10</f>
        <v>-1628131691.3490052</v>
      </c>
      <c r="F11" s="18">
        <f>-F6*Assumptions!B10</f>
        <v>-1747647877.8335834</v>
      </c>
    </row>
    <row r="12" spans="1:6" x14ac:dyDescent="0.25">
      <c r="A12" t="s">
        <v>48</v>
      </c>
      <c r="B12" s="18">
        <f>-(B6-Assumptions!B29)*Assumptions!B11</f>
        <v>1514532253.534542</v>
      </c>
      <c r="C12" s="18">
        <f>-(C6-B6)*Assumptions!B11</f>
        <v>1625709451.4308395</v>
      </c>
      <c r="D12" s="18">
        <f>-(D6-C6)*Assumptions!B11</f>
        <v>1745047828.663681</v>
      </c>
      <c r="E12" s="18">
        <f>-(E6-D6)*Assumptions!B11</f>
        <v>1873146472.5407448</v>
      </c>
      <c r="F12" s="18">
        <f>-(F6-E6)*Assumptions!B11</f>
        <v>2010648447.5435257</v>
      </c>
    </row>
    <row r="13" spans="1:6" x14ac:dyDescent="0.25">
      <c r="A13" s="19" t="s">
        <v>49</v>
      </c>
      <c r="B13" s="20">
        <f>B9+B10+B11+B12</f>
        <v>9725541129.737204</v>
      </c>
      <c r="C13" s="20">
        <f>C9+C10+C11+C12</f>
        <v>10439463469.988451</v>
      </c>
      <c r="D13" s="20">
        <f>D9+D10+D11+D12</f>
        <v>11205792673.889828</v>
      </c>
      <c r="E13" s="20">
        <f>E9+E10+E11+E12</f>
        <v>12028375769.616236</v>
      </c>
      <c r="F13" s="20">
        <f>F9+F10+F11+F12</f>
        <v>12911342183.958864</v>
      </c>
    </row>
    <row r="14" spans="1:6" x14ac:dyDescent="0.25">
      <c r="A14" t="s">
        <v>50</v>
      </c>
      <c r="B14" s="21">
        <f>1/(1+Assumptions!$B$26)^(1-0.5*Assumptions!$B$32)</f>
        <v>0.9746953580291683</v>
      </c>
      <c r="C14" s="21">
        <f>1/(1+Assumptions!$B$26)^(2-0.5*Assumptions!$B$32)</f>
        <v>0.925990845610848</v>
      </c>
      <c r="D14" s="21">
        <f>1/(1+Assumptions!$B$26)^(3-0.5*Assumptions!$B$32)</f>
        <v>0.879720046978446</v>
      </c>
      <c r="E14" s="21">
        <f>1/(1+Assumptions!$B$26)^(4-0.5*Assumptions!$B$32)</f>
        <v>0.8357613519874879</v>
      </c>
      <c r="F14" s="21">
        <f>1/(1+Assumptions!$B$26)^(5-0.5*Assumptions!$B$32)</f>
        <v>0.7939992272258259</v>
      </c>
    </row>
    <row r="15" spans="1:6" x14ac:dyDescent="0.25">
      <c r="A15" s="19" t="s">
        <v>51</v>
      </c>
      <c r="B15" s="20">
        <f>B13*B14</f>
        <v>9479439793.476606</v>
      </c>
      <c r="C15" s="20">
        <f>C13*C14</f>
        <v>9666847606.298162</v>
      </c>
      <c r="D15" s="20">
        <f>D13*D14</f>
        <v>9857960457.505085</v>
      </c>
      <c r="E15" s="20">
        <f>E13*E14</f>
        <v>10052851595.428005</v>
      </c>
      <c r="F15" s="20">
        <f>F13*F14</f>
        <v>10251595716.511545</v>
      </c>
    </row>
    <row r="17" spans="1:2" x14ac:dyDescent="0.25">
      <c r="A17" s="22" t="s">
        <v>52</v>
      </c>
      <c r="B17" s="23">
        <f>SUM(B15:F15)</f>
        <v>49308695169.2194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12911342183.958864</v>
      </c>
    </row>
    <row r="5" spans="1:2" x14ac:dyDescent="0.25">
      <c r="A5" t="s">
        <v>56</v>
      </c>
      <c r="B5" s="18">
        <f>IF(Assumptions!$B$33=0,B4,B4-Forecast!F11-Forecast!F10-Forecast!F12)</f>
        <v>10841313625.537146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0.47531060246408147</v>
      </c>
    </row>
    <row r="7" spans="1:2" x14ac:dyDescent="0.25">
      <c r="A7" t="s">
        <v>58</v>
      </c>
      <c r="B7" s="18">
        <f>-MAX(Forecast!F9,0)*B6</f>
        <v>-5152991310.856116</v>
      </c>
    </row>
    <row r="8" spans="1:2" x14ac:dyDescent="0.25">
      <c r="A8" t="s">
        <v>59</v>
      </c>
      <c r="B8" s="18">
        <f>IF(OR(Assumptions!$B$33=0,Assumptions!B12&lt;=0),B5,MAX(B5+B7,0))</f>
        <v>5688322314.681029</v>
      </c>
    </row>
    <row r="9" spans="1:2" x14ac:dyDescent="0.25">
      <c r="A9" t="s">
        <v>60</v>
      </c>
      <c r="B9" s="18">
        <f>B8*(1+Assumptions!B12)/(Assumptions!B26-Assumptions!B12)</f>
        <v>211272643745.10074</v>
      </c>
    </row>
    <row r="10" spans="1:2" x14ac:dyDescent="0.25">
      <c r="A10" t="s">
        <v>61</v>
      </c>
      <c r="B10" s="18">
        <f>B9/(1+Assumptions!B26)^(5-0.5*Assumptions!B32)</f>
        <v>167750315867.56723</v>
      </c>
    </row>
    <row r="11" spans="1:2" x14ac:dyDescent="0.25">
      <c r="A11" t="s">
        <v>62</v>
      </c>
      <c r="B11" s="18">
        <f>Forecast!B17+B10</f>
        <v>217059011036.78662</v>
      </c>
    </row>
    <row r="12" spans="1:2" x14ac:dyDescent="0.25">
      <c r="A12" t="s">
        <v>63</v>
      </c>
      <c r="B12" s="18">
        <f>-Assumptions!B30</f>
        <v>-101355000000</v>
      </c>
    </row>
    <row r="13" spans="1:2" x14ac:dyDescent="0.25">
      <c r="A13" t="s">
        <v>64</v>
      </c>
      <c r="B13" s="18">
        <f>B11+B12</f>
        <v>115704011036.78662</v>
      </c>
    </row>
    <row r="14" spans="1:2" x14ac:dyDescent="0.25">
      <c r="A14" s="19" t="s">
        <v>65</v>
      </c>
      <c r="B14" s="24">
        <f>B13/Assumptions!B31</f>
        <v>37.021958699245936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16952700049.580072</v>
      </c>
    </row>
    <row r="18" spans="1:2" x14ac:dyDescent="0.25">
      <c r="A18" t="s">
        <v>60</v>
      </c>
      <c r="B18" s="18">
        <f>B17*Assumptions!B13</f>
        <v>135621600396.64058</v>
      </c>
    </row>
    <row r="19" spans="1:2" x14ac:dyDescent="0.25">
      <c r="A19" t="s">
        <v>61</v>
      </c>
      <c r="B19" s="18">
        <f>B18/(1+Assumptions!B26)^(5-0.5*Assumptions!B32)</f>
        <v>107683445910.0624</v>
      </c>
    </row>
    <row r="20" spans="1:2" x14ac:dyDescent="0.25">
      <c r="A20" t="s">
        <v>62</v>
      </c>
      <c r="B20" s="18">
        <f>Forecast!B17+B19</f>
        <v>156992141079.2818</v>
      </c>
    </row>
    <row r="21" spans="1:2" x14ac:dyDescent="0.25">
      <c r="A21" t="s">
        <v>63</v>
      </c>
      <c r="B21" s="18">
        <f>-Assumptions!B30</f>
        <v>-101355000000</v>
      </c>
    </row>
    <row r="22" spans="1:2" x14ac:dyDescent="0.25">
      <c r="A22" t="s">
        <v>64</v>
      </c>
      <c r="B22" s="18">
        <f>B20+B21</f>
        <v>55637141079.2818</v>
      </c>
    </row>
    <row r="23" spans="1:2" x14ac:dyDescent="0.25">
      <c r="A23" s="19" t="s">
        <v>65</v>
      </c>
      <c r="B23" s="25">
        <f>B22/Assumptions!B31</f>
        <v>17.80228637472563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37.021958699245936</v>
      </c>
    </row>
    <row r="29" spans="1:2" x14ac:dyDescent="0.25">
      <c r="A29" s="19" t="s">
        <v>73</v>
      </c>
      <c r="B29" s="12">
        <f>B28/B26-1</f>
        <v>-0.03764079284517974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0.032597</v>
      </c>
      <c r="B5" s="31">
        <v>77.63618186651242</v>
      </c>
      <c r="C5" s="31">
        <v>78.09675265770679</v>
      </c>
      <c r="D5" s="31">
        <v>78.55732344890116</v>
      </c>
      <c r="E5" s="31">
        <v>103.22866599398287</v>
      </c>
      <c r="F5" s="31" t="s">
        <v>76</v>
      </c>
    </row>
    <row r="6" spans="1:6" x14ac:dyDescent="0.25">
      <c r="A6" s="30">
        <v>0.042597</v>
      </c>
      <c r="B6" s="31">
        <v>52.24552965161005</v>
      </c>
      <c r="C6" s="31">
        <v>52.58301875621194</v>
      </c>
      <c r="D6" s="31">
        <v>52.92050786081386</v>
      </c>
      <c r="E6" s="31">
        <v>53.257996965415735</v>
      </c>
      <c r="F6" s="31">
        <v>53.59548607001766</v>
      </c>
    </row>
    <row r="7" spans="1:6" x14ac:dyDescent="0.25">
      <c r="A7" s="30">
        <v>0.052597</v>
      </c>
      <c r="B7" s="31">
        <v>36.498534285476424</v>
      </c>
      <c r="C7" s="31">
        <v>36.7603660548361</v>
      </c>
      <c r="D7" s="32">
        <v>37.022197824195715</v>
      </c>
      <c r="E7" s="31">
        <v>37.28402959355539</v>
      </c>
      <c r="F7" s="31">
        <v>37.545861362915026</v>
      </c>
    </row>
    <row r="8" spans="1:6" x14ac:dyDescent="0.25">
      <c r="A8" s="30">
        <v>0.062597</v>
      </c>
      <c r="B8" s="31">
        <v>25.77407266043857</v>
      </c>
      <c r="C8" s="31">
        <v>25.98491155742856</v>
      </c>
      <c r="D8" s="31">
        <v>26.19575045441854</v>
      </c>
      <c r="E8" s="31">
        <v>26.406589351408524</v>
      </c>
      <c r="F8" s="31">
        <v>26.61742824839852</v>
      </c>
    </row>
    <row r="9" spans="1:6" x14ac:dyDescent="0.25">
      <c r="A9" s="30">
        <v>0.072597</v>
      </c>
      <c r="B9" s="31">
        <v>17.997156429826486</v>
      </c>
      <c r="C9" s="31">
        <v>18.171449297280926</v>
      </c>
      <c r="D9" s="31">
        <v>18.345742164735324</v>
      </c>
      <c r="E9" s="31">
        <v>18.520035032189732</v>
      </c>
      <c r="F9" s="31">
        <v>18.69432789964414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20632000000</v>
      </c>
      <c r="C5" s="18">
        <v>20630000000</v>
      </c>
      <c r="D5" s="18">
        <v>18329000000</v>
      </c>
      <c r="E5" s="18">
        <v>16682000000</v>
      </c>
      <c r="F5" s="8" t="s">
        <v>85</v>
      </c>
    </row>
    <row r="6" spans="1:6" x14ac:dyDescent="0.25">
      <c r="A6" t="s">
        <v>44</v>
      </c>
      <c r="B6" s="18">
        <v>9879000000</v>
      </c>
      <c r="C6" s="18">
        <v>10450000000</v>
      </c>
      <c r="D6" s="18">
        <v>9744000000</v>
      </c>
      <c r="E6" s="18">
        <v>9068000000</v>
      </c>
      <c r="F6" s="8" t="s">
        <v>86</v>
      </c>
    </row>
    <row r="7" spans="1:6" x14ac:dyDescent="0.25">
      <c r="A7" t="s">
        <v>87</v>
      </c>
      <c r="B7" s="18">
        <v>1312000000</v>
      </c>
      <c r="C7" s="18">
        <v>1216000000</v>
      </c>
      <c r="D7" s="18">
        <v>1112000000</v>
      </c>
      <c r="E7" s="18">
        <v>1045000000</v>
      </c>
      <c r="F7" s="8" t="s">
        <v>88</v>
      </c>
    </row>
    <row r="8" spans="1:6" x14ac:dyDescent="0.25">
      <c r="A8" t="s">
        <v>89</v>
      </c>
      <c r="B8" s="18">
        <v>1440000000</v>
      </c>
      <c r="C8" s="18">
        <v>1192000000</v>
      </c>
      <c r="D8" s="18">
        <v>1077000000</v>
      </c>
      <c r="E8" s="18">
        <v>858000000</v>
      </c>
      <c r="F8" s="8" t="s">
        <v>90</v>
      </c>
    </row>
    <row r="9" spans="1:6" x14ac:dyDescent="0.25">
      <c r="A9" t="s">
        <v>91</v>
      </c>
      <c r="B9" s="18">
        <v>-1172000000</v>
      </c>
      <c r="C9" s="18">
        <v>-4760000000</v>
      </c>
      <c r="D9" s="18">
        <v>-1148000000</v>
      </c>
      <c r="E9" s="18">
        <v>0</v>
      </c>
      <c r="F9" s="8" t="s">
        <v>86</v>
      </c>
    </row>
    <row r="10" spans="1:6" x14ac:dyDescent="0.25">
      <c r="A10" t="s">
        <v>92</v>
      </c>
      <c r="B10" s="18">
        <v>214292000000</v>
      </c>
      <c r="C10" s="18">
        <v>197792000000</v>
      </c>
      <c r="D10" s="18">
        <v>191725000000</v>
      </c>
      <c r="E10" s="18">
        <v>172164000000</v>
      </c>
      <c r="F10" s="8" t="s">
        <v>93</v>
      </c>
    </row>
    <row r="11" spans="1:6" x14ac:dyDescent="0.25">
      <c r="A11" t="s">
        <v>94</v>
      </c>
      <c r="B11" s="18">
        <v>112937000000</v>
      </c>
      <c r="C11" s="18">
        <v>120197000000</v>
      </c>
      <c r="D11" s="18">
        <v>144527000000</v>
      </c>
      <c r="E11" s="18">
        <v>109214000000</v>
      </c>
      <c r="F11" s="8" t="s">
        <v>95</v>
      </c>
    </row>
    <row r="12" spans="1:6" x14ac:dyDescent="0.25">
      <c r="A12" t="s">
        <v>32</v>
      </c>
      <c r="B12" s="34">
        <v>3125280647</v>
      </c>
      <c r="C12" s="34">
        <v>3241801487</v>
      </c>
      <c r="D12" s="34">
        <v>3351653696</v>
      </c>
      <c r="E12" s="34">
        <v>3275998000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