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<sst xmlns="http://schemas.openxmlformats.org/spreadsheetml/2006/main" count="113" uniqueCount="101">
  <si>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Norwegian Cruise Line Holdings Ltd. (NCLH)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</si>
  <si>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</si>
  <si>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</si>
  <si>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</si>
  <si>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</si>
  <si>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</si>
  <si>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</si>
  <si>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</si>
  <si>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</si>
  <si>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</si>
  <si>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</si>
  <si>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</si>
  <si>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</si>
  <si>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</si>
  <si>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</si>
  <si>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</si>
  <si>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</si>
  <si>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</si>
  <si>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</si>
  <si>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</si>
  <si>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</si>
  <si>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</si>
  <si>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</si>
  <si>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</si>
  <si>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</si>
  <si>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</si>
  <si>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</si>
  <si>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</si>
  <si>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</si>
  <si>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</si>
  <si>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</si>
  <si>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</si>
  <si>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</si>
  <si>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</si>
  <si>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</si>
  <si>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</si>
  <si>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</si>
  <si>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</si>
  <si>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</si>
  <si>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</si>
  <si>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</si>
  <si>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</si>
  <si>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</si>
  <si>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</si>
  <si>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</si>
  <si>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</si>
  <si>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</si>
  <si>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</si>
  <si>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</si>
  <si>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</si>
  <si>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</si>
  <si>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</si>
  <si>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</si>
  <si>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</si>
  <si>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</si>
  <si>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</si>
  <si>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</si>
  <si>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</si>
  <si>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</si>
  <si>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</si>
  <si>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</si>
  <si>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</si>
  <si>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</si>
  <si>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</si>
  <si>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</si>
  <si>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</si>
  <si>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</si>
  <si>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</si>
  <si>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</si>
  <si>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</si>
  <si>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</si>
  <si>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</si>
  <si>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</si>
  <si>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</si>
  <si>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</si>
  <si>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</si>
  <si>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</si>
  <si>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</si>
  <si>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</si>
  <si>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</si>
  <si>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</si>
  <si>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</si>
  <si>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</si>
  <si>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</si>
  <si>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</si>
  <si>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</si>
  <si>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</si>
  <si>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</si>
  <si>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</si>
  <si>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</si>
  <si>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</si>
  <si>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</si>
  <si>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</si>
  <si>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</si>
  <si>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</si>
  <si>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</si>
  <si>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</si>
  <si>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</si>
  <si>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</si>
  <si>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28.7% of revenue against depreciation of 12.3%.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</si>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</sst>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0.2659644216614605</v>
      </c>
    </row>
    <row r="7" spans="1:2" x14ac:dyDescent="0.25">
      <c r="A7" t="s">
        <v>5</v>
      </c>
      <c r="B7" s="6">
        <v>0.025494893002805524</v>
      </c>
    </row>
    <row r="8" spans="1:2" x14ac:dyDescent="0.25">
      <c r="A8" t="s">
        <v>6</v>
      </c>
      <c r="B8" s="6">
        <v>0.012770543080464918</v>
      </c>
    </row>
    <row r="9" spans="1:2" x14ac:dyDescent="0.25">
      <c r="A9" t="s">
        <v>7</v>
      </c>
      <c r="B9" s="6">
        <v>0.12287105341604145</v>
      </c>
    </row>
    <row r="10" spans="1:2" x14ac:dyDescent="0.25">
      <c r="A10" t="s">
        <v>8</v>
      </c>
      <c r="B10" s="6">
        <v>0.2873458217486622</v>
      </c>
    </row>
    <row r="11" spans="1:2" x14ac:dyDescent="0.25">
      <c r="A11" t="s">
        <v>9</v>
      </c>
      <c r="B11" s="6">
        <v>-0.21838564078653833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7.668086490663157</v>
      </c>
    </row>
    <row r="14" spans="1:3" x14ac:dyDescent="0.25">
      <c r="A14" t="s">
        <v>12</v>
      </c>
      <c r="B14" s="6">
        <v>0.09163469334816286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1.5902699999999999</v>
      </c>
      <c r="C19" s="8" t="s">
        <v>19</v>
      </c>
    </row>
    <row r="20" spans="1:2" x14ac:dyDescent="0.25">
      <c r="A20" t="s">
        <v>20</v>
      </c>
      <c r="B20" s="10">
        <f>B17+B19*B18</f>
        <v>0.13744485</v>
      </c>
    </row>
    <row r="21" spans="1:3" x14ac:dyDescent="0.25">
      <c r="A21" t="s">
        <v>21</v>
      </c>
      <c r="B21" s="6">
        <v>0.06882863495737812</v>
      </c>
      <c r="C21" s="8" t="s">
        <v>22</v>
      </c>
    </row>
    <row r="22" spans="1:2" x14ac:dyDescent="0.25">
      <c r="A22" t="s">
        <v>23</v>
      </c>
      <c r="B22" s="11">
        <v>6483732480</v>
      </c>
    </row>
    <row r="23" spans="1:2" x14ac:dyDescent="0.25">
      <c r="A23" t="s">
        <v>24</v>
      </c>
      <c r="B23" s="11">
        <v>14606176000</v>
      </c>
    </row>
    <row r="24" spans="1:2" x14ac:dyDescent="0.25">
      <c r="A24" t="s">
        <v>25</v>
      </c>
      <c r="B24" s="10">
        <f>B22/(B22+B23)</f>
        <v>0.30743293581139336</v>
      </c>
    </row>
    <row r="25" spans="1:2" x14ac:dyDescent="0.25">
      <c r="A25" t="s">
        <v>26</v>
      </c>
      <c r="B25" s="10">
        <f>1-B24</f>
        <v>0.6925670641886066</v>
      </c>
    </row>
    <row r="26" spans="1:2" x14ac:dyDescent="0.25">
      <c r="A26" t="s">
        <v>27</v>
      </c>
      <c r="B26" s="12">
        <f>B24*B20+B25*B21*(1-B8)</f>
        <v>0.08931476745351485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9827592000</v>
      </c>
      <c r="C29" s="8" t="s">
        <v>30</v>
      </c>
    </row>
    <row r="30" spans="1:2" x14ac:dyDescent="0.25">
      <c r="A30" t="s">
        <v>31</v>
      </c>
      <c r="B30" s="11">
        <v>14396283000</v>
      </c>
    </row>
    <row r="31" spans="1:2" x14ac:dyDescent="0.25">
      <c r="A31" t="s">
        <v>32</v>
      </c>
      <c r="B31" s="13">
        <v>477742311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0.2659644216614605</v>
      </c>
      <c r="C5" s="10">
        <f>Assumptions!B6</f>
        <v>0.2659644216614605</v>
      </c>
      <c r="D5" s="10">
        <f>Assumptions!B6</f>
        <v>0.2659644216614605</v>
      </c>
      <c r="E5" s="10">
        <f>Assumptions!B6</f>
        <v>0.2659644216614605</v>
      </c>
      <c r="F5" s="10">
        <f>Assumptions!B6</f>
        <v>0.2659644216614605</v>
      </c>
    </row>
    <row r="6" spans="1:6" x14ac:dyDescent="0.25">
      <c r="A6" t="s">
        <v>43</v>
      </c>
      <c r="B6" s="18">
        <f>Assumptions!B29*(1+B5)</f>
        <v>12441381822.604795</v>
      </c>
      <c r="C6" s="18">
        <f>B6*(1+C5)</f>
        <v>15750346743.723288</v>
      </c>
      <c r="D6" s="18">
        <f>C6*(1+D5)</f>
        <v>19939378606.38512</v>
      </c>
      <c r="E6" s="18">
        <f>D6*(1+E5)</f>
        <v>25242543905.721237</v>
      </c>
      <c r="F6" s="18">
        <f>E6*(1+F5)</f>
        <v>31956162496.87041</v>
      </c>
    </row>
    <row r="7" spans="1:6" x14ac:dyDescent="0.25">
      <c r="A7" t="s">
        <v>5</v>
      </c>
      <c r="B7" s="10">
        <f>Assumptions!B7</f>
        <v>0.025494893002805524</v>
      </c>
      <c r="C7" s="10">
        <f>Assumptions!B7</f>
        <v>0.025494893002805524</v>
      </c>
      <c r="D7" s="10">
        <f>Assumptions!B7</f>
        <v>0.025494893002805524</v>
      </c>
      <c r="E7" s="10">
        <f>Assumptions!B7</f>
        <v>0.025494893002805524</v>
      </c>
      <c r="F7" s="10">
        <f>Assumptions!B7</f>
        <v>0.025494893002805524</v>
      </c>
    </row>
    <row r="8" spans="1:6" x14ac:dyDescent="0.25">
      <c r="A8" t="s">
        <v>44</v>
      </c>
      <c r="B8" s="18">
        <f>B6*B7</f>
        <v>317191698.37435883</v>
      </c>
      <c r="C8" s="18">
        <f>C6*C7</f>
        <v>401553404.98831165</v>
      </c>
      <c r="D8" s="18">
        <f>D6*D7</f>
        <v>508352324.1122182</v>
      </c>
      <c r="E8" s="18">
        <f>E6*E7</f>
        <v>643555955.9949836</v>
      </c>
      <c r="F8" s="18">
        <f>F6*F7</f>
        <v>814718943.6379777</v>
      </c>
    </row>
    <row r="9" spans="1:6" x14ac:dyDescent="0.25">
      <c r="A9" t="s">
        <v>45</v>
      </c>
      <c r="B9" s="18">
        <f>B8*(1-Assumptions!B8)</f>
        <v>313140988.12550324</v>
      </c>
      <c r="C9" s="18">
        <f>C8*(1-Assumptions!B8)</f>
        <v>396425349.93080103</v>
      </c>
      <c r="D9" s="18">
        <f>D8*(1-Assumptions!B8)</f>
        <v>501860388.8570887</v>
      </c>
      <c r="E9" s="18">
        <f>E8*(1-Assumptions!B8)</f>
        <v>635337396.9342599</v>
      </c>
      <c r="F9" s="18">
        <f>F8*(1-Assumptions!B8)</f>
        <v>804314540.2697781</v>
      </c>
    </row>
    <row r="10" spans="1:6" x14ac:dyDescent="0.25">
      <c r="A10" t="s">
        <v>46</v>
      </c>
      <c r="B10" s="18">
        <f>B6*Assumptions!B9</f>
        <v>1528685690.4946408</v>
      </c>
      <c r="C10" s="18">
        <f>C6*Assumptions!B9</f>
        <v>1935261696.0691986</v>
      </c>
      <c r="D10" s="18">
        <f>D6*Assumptions!B9</f>
        <v>2449972453.8278203</v>
      </c>
      <c r="E10" s="18">
        <f>E6*Assumptions!B9</f>
        <v>3101577960.5966454</v>
      </c>
      <c r="F10" s="18">
        <f>F6*Assumptions!B9</f>
        <v>3926487349.124665</v>
      </c>
    </row>
    <row r="11" spans="1:6" x14ac:dyDescent="0.25">
      <c r="A11" t="s">
        <v>47</v>
      </c>
      <c r="B11" s="18">
        <f>-B6*Assumptions!B10</f>
        <v>-3574979083.5052433</v>
      </c>
      <c r="C11" s="18">
        <f>-C6*Assumptions!B10</f>
        <v>-4525796327.901534</v>
      </c>
      <c r="D11" s="18">
        <f>-D6*Assumptions!B10</f>
        <v>-5729497130.809427</v>
      </c>
      <c r="E11" s="18">
        <f>-E6*Assumptions!B10</f>
        <v>-7253339521.616154</v>
      </c>
      <c r="F11" s="18">
        <f>-F6*Assumptions!B10</f>
        <v>-9182469772.59701</v>
      </c>
    </row>
    <row r="12" spans="1:6" x14ac:dyDescent="0.25">
      <c r="A12" t="s">
        <v>48</v>
      </c>
      <c r="B12" s="18">
        <f>-(B6-Assumptions!B29)*Assumptions!B11</f>
        <v>570814165.2908806</v>
      </c>
      <c r="C12" s="18">
        <f>-(C6-B6)*Assumptions!B11</f>
        <v>722630424.6386391</v>
      </c>
      <c r="D12" s="18">
        <f>-(D6-C6)*Assumptions!B11</f>
        <v>914824407.6026306</v>
      </c>
      <c r="E12" s="18">
        <f>-(E6-D6)*Assumptions!B11</f>
        <v>1158135152.0924523</v>
      </c>
      <c r="F12" s="18">
        <f>-(F6-E6)*Assumptions!B11</f>
        <v>1466157898.024529</v>
      </c>
    </row>
    <row r="13" spans="1:6" x14ac:dyDescent="0.25">
      <c r="A13" s="19" t="s">
        <v>49</v>
      </c>
      <c r="B13" s="20">
        <f>B9+B10+B11+B12</f>
        <v>-1162338239.5942187</v>
      </c>
      <c r="C13" s="20">
        <f>C9+C10+C11+C12</f>
        <v>-1471478857.2628956</v>
      </c>
      <c r="D13" s="20">
        <f>D9+D10+D11+D12</f>
        <v>-1862839880.5218878</v>
      </c>
      <c r="E13" s="20">
        <f>E9+E10+E11+E12</f>
        <v>-2358289011.992796</v>
      </c>
      <c r="F13" s="20">
        <f>F9+F10+F11+F12</f>
        <v>-2985509985.178038</v>
      </c>
    </row>
    <row r="14" spans="1:6" x14ac:dyDescent="0.25">
      <c r="A14" t="s">
        <v>50</v>
      </c>
      <c r="B14" s="21">
        <f>1/(1+Assumptions!$B$26)^(1-0.5*Assumptions!$B$32)</f>
        <v>0.9581274977723909</v>
      </c>
      <c r="C14" s="21">
        <f>1/(1+Assumptions!$B$26)^(2-0.5*Assumptions!$B$32)</f>
        <v>0.8795689973176443</v>
      </c>
      <c r="D14" s="21">
        <f>1/(1+Assumptions!$B$26)^(3-0.5*Assumptions!$B$32)</f>
        <v>0.8074516417084915</v>
      </c>
      <c r="E14" s="21">
        <f>1/(1+Assumptions!$B$26)^(4-0.5*Assumptions!$B$32)</f>
        <v>0.7412473105418986</v>
      </c>
      <c r="F14" s="21">
        <f>1/(1+Assumptions!$B$26)^(5-0.5*Assumptions!$B$32)</f>
        <v>0.680471184903431</v>
      </c>
    </row>
    <row r="15" spans="1:6" x14ac:dyDescent="0.25">
      <c r="A15" s="19" t="s">
        <v>51</v>
      </c>
      <c r="B15" s="20">
        <f>B13*B14</f>
        <v>-1113668229.0675745</v>
      </c>
      <c r="C15" s="20">
        <f>C13*C14</f>
        <v>-1294267183.056838</v>
      </c>
      <c r="D15" s="20">
        <f>D13*D14</f>
        <v>-1504153119.7674484</v>
      </c>
      <c r="E15" s="20">
        <f>E13*E14</f>
        <v>-1748075387.6201713</v>
      </c>
      <c r="F15" s="20">
        <f>F13*F14</f>
        <v>-2031553517.1551242</v>
      </c>
    </row>
    <row r="17" spans="1:2" x14ac:dyDescent="0.25">
      <c r="A17" s="22" t="s">
        <v>52</v>
      </c>
      <c r="B17" s="23">
        <f>SUM(B15:F15)</f>
        <v>-7691717436.667156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-2985509985.178038</v>
      </c>
    </row>
    <row r="5" spans="1:2" x14ac:dyDescent="0.25">
      <c r="A5" t="s">
        <v>56</v>
      </c>
      <c r="B5" s="18">
        <f>IF(Assumptions!$B$33=0,B4,B4-Forecast!F11-Forecast!F10-Forecast!F12)</f>
        <v>804314540.2697781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0.2728224331478184</v>
      </c>
    </row>
    <row r="7" spans="1:2" x14ac:dyDescent="0.25">
      <c r="A7" t="s">
        <v>58</v>
      </c>
      <c r="B7" s="18">
        <f>-MAX(Forecast!F9,0)*B6</f>
        <v>-219435049.89256984</v>
      </c>
    </row>
    <row r="8" spans="1:2" x14ac:dyDescent="0.25">
      <c r="A8" t="s">
        <v>59</v>
      </c>
      <c r="B8" s="18">
        <f>IF(OR(Assumptions!$B$33=0,Assumptions!B12&lt;=0),B5,MAX(B5+B7,0))</f>
        <v>584879490.3772082</v>
      </c>
    </row>
    <row r="9" spans="1:2" x14ac:dyDescent="0.25">
      <c r="A9" t="s">
        <v>60</v>
      </c>
      <c r="B9" s="18">
        <f>B8*(1+Assumptions!B12)/(Assumptions!B26-Assumptions!B12)</f>
        <v>9321365860.02497</v>
      </c>
    </row>
    <row r="10" spans="1:2" x14ac:dyDescent="0.25">
      <c r="A10" t="s">
        <v>61</v>
      </c>
      <c r="B10" s="18">
        <f>B9/(1+Assumptions!B26)^(5-0.5*Assumptions!B32)</f>
        <v>6342920871.689579</v>
      </c>
    </row>
    <row r="11" spans="1:2" x14ac:dyDescent="0.25">
      <c r="A11" t="s">
        <v>62</v>
      </c>
      <c r="B11" s="18">
        <f>Forecast!B17+B10</f>
        <v>-1348796564.9775772</v>
      </c>
    </row>
    <row r="12" spans="1:2" x14ac:dyDescent="0.25">
      <c r="A12" t="s">
        <v>63</v>
      </c>
      <c r="B12" s="18">
        <f>-Assumptions!B30</f>
        <v>-14396283000</v>
      </c>
    </row>
    <row r="13" spans="1:2" x14ac:dyDescent="0.25">
      <c r="A13" t="s">
        <v>64</v>
      </c>
      <c r="B13" s="18">
        <f>B11+B12</f>
        <v>-15745079564.977577</v>
      </c>
    </row>
    <row r="14" spans="1:2" x14ac:dyDescent="0.25">
      <c r="A14" s="19" t="s">
        <v>65</v>
      </c>
      <c r="B14" s="24">
        <f>B13/Assumptions!B31</f>
        <v>-32.957264203834725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4741206292.762643</v>
      </c>
    </row>
    <row r="18" spans="1:2" x14ac:dyDescent="0.25">
      <c r="A18" t="s">
        <v>60</v>
      </c>
      <c r="B18" s="18">
        <f>B17*Assumptions!B13</f>
        <v>36355979922.98037</v>
      </c>
    </row>
    <row r="19" spans="1:2" x14ac:dyDescent="0.25">
      <c r="A19" t="s">
        <v>61</v>
      </c>
      <c r="B19" s="18">
        <f>B18/(1+Assumptions!B26)^(5-0.5*Assumptions!B32)</f>
        <v>24739196736.515797</v>
      </c>
    </row>
    <row r="20" spans="1:2" x14ac:dyDescent="0.25">
      <c r="A20" t="s">
        <v>62</v>
      </c>
      <c r="B20" s="18">
        <f>Forecast!B17+B19</f>
        <v>17047479299.84864</v>
      </c>
    </row>
    <row r="21" spans="1:2" x14ac:dyDescent="0.25">
      <c r="A21" t="s">
        <v>63</v>
      </c>
      <c r="B21" s="18">
        <f>-Assumptions!B30</f>
        <v>-14396283000</v>
      </c>
    </row>
    <row r="22" spans="1:2" x14ac:dyDescent="0.25">
      <c r="A22" t="s">
        <v>64</v>
      </c>
      <c r="B22" s="18">
        <f>B20+B21</f>
        <v>2651196299.8486404</v>
      </c>
    </row>
    <row r="23" spans="1:2" x14ac:dyDescent="0.25">
      <c r="A23" s="19" t="s">
        <v>65</v>
      </c>
      <c r="B23" s="25">
        <f>B22/Assumptions!B31</f>
        <v>5.549427460798297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14.12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-32.957264203834725</v>
      </c>
    </row>
    <row r="29" spans="1:2" x14ac:dyDescent="0.25">
      <c r="A29" s="19" t="s">
        <v>73</v>
      </c>
      <c r="B29" s="12">
        <f>B28/B26-1</f>
        <v>-3.3340838671271054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0.069315</v>
      </c>
      <c r="B5" s="31">
        <v>-27.635308141750876</v>
      </c>
      <c r="C5" s="31">
        <v>-26.961934547406216</v>
      </c>
      <c r="D5" s="31">
        <v>-26.15194194450725</v>
      </c>
      <c r="E5" s="31">
        <v>-25.15320556824882</v>
      </c>
      <c r="F5" s="31">
        <v>-23.88322049074541</v>
      </c>
    </row>
    <row r="6" spans="1:6" x14ac:dyDescent="0.25">
      <c r="A6" s="30">
        <v>0.079315</v>
      </c>
      <c r="B6" s="31">
        <v>-30.895268878784165</v>
      </c>
      <c r="C6" s="31">
        <v>-30.602994315628752</v>
      </c>
      <c r="D6" s="31">
        <v>-30.26890525827373</v>
      </c>
      <c r="E6" s="31">
        <v>-29.88028311373532</v>
      </c>
      <c r="F6" s="31">
        <v>-29.418669204189975</v>
      </c>
    </row>
    <row r="7" spans="1:6" x14ac:dyDescent="0.25">
      <c r="A7" s="30">
        <v>0.089315</v>
      </c>
      <c r="B7" s="31">
        <v>-33.14843221957108</v>
      </c>
      <c r="C7" s="31">
        <v>-33.055257693044304</v>
      </c>
      <c r="D7" s="32">
        <v>-32.957315348319796</v>
      </c>
      <c r="E7" s="31">
        <v>-32.853399465546474</v>
      </c>
      <c r="F7" s="31">
        <v>-32.74186035180838</v>
      </c>
    </row>
    <row r="8" spans="1:6" x14ac:dyDescent="0.25">
      <c r="A8" s="30">
        <v>0.099315</v>
      </c>
      <c r="B8" s="31">
        <v>-34.59243341662983</v>
      </c>
      <c r="C8" s="31">
        <v>-34.53708086079414</v>
      </c>
      <c r="D8" s="31">
        <v>-34.48172830495845</v>
      </c>
      <c r="E8" s="31">
        <v>-34.42637574912277</v>
      </c>
      <c r="F8" s="31">
        <v>-34.37102319328709</v>
      </c>
    </row>
    <row r="9" spans="1:6" x14ac:dyDescent="0.25">
      <c r="A9" s="30">
        <v>0.109315</v>
      </c>
      <c r="B9" s="31">
        <v>-35.6390405616295</v>
      </c>
      <c r="C9" s="31">
        <v>-35.590759648604134</v>
      </c>
      <c r="D9" s="31">
        <v>-35.542478735578776</v>
      </c>
      <c r="E9" s="31">
        <v>-35.49419782255341</v>
      </c>
      <c r="F9" s="31">
        <v>-35.445916909528044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9827592000</v>
      </c>
      <c r="C5" s="18">
        <v>9479651000</v>
      </c>
      <c r="D5" s="18">
        <v>8549924000</v>
      </c>
      <c r="E5" s="18">
        <v>4843760000</v>
      </c>
      <c r="F5" s="8" t="s">
        <v>84</v>
      </c>
    </row>
    <row r="6" spans="1:6" x14ac:dyDescent="0.25">
      <c r="A6" t="s">
        <v>44</v>
      </c>
      <c r="B6" s="18">
        <v>1560868000</v>
      </c>
      <c r="C6" s="18">
        <v>1465906000</v>
      </c>
      <c r="D6" s="18">
        <v>930911000</v>
      </c>
      <c r="E6" s="18">
        <v>-1551757000</v>
      </c>
      <c r="F6" s="8" t="s">
        <v>85</v>
      </c>
    </row>
    <row r="7" spans="1:6" x14ac:dyDescent="0.25">
      <c r="A7" t="s">
        <v>86</v>
      </c>
      <c r="B7" s="18">
        <v>1162108000</v>
      </c>
      <c r="C7" s="18">
        <v>973512000</v>
      </c>
      <c r="D7" s="18">
        <v>883236000</v>
      </c>
      <c r="E7" s="18">
        <v>810053000</v>
      </c>
      <c r="F7" s="8" t="s">
        <v>87</v>
      </c>
    </row>
    <row r="8" spans="1:6" x14ac:dyDescent="0.25">
      <c r="A8" t="s">
        <v>88</v>
      </c>
      <c r="B8" s="18">
        <v>3259606000</v>
      </c>
      <c r="C8" s="18">
        <v>1210952000</v>
      </c>
      <c r="D8" s="18">
        <v>2750362000</v>
      </c>
      <c r="E8" s="18">
        <v>1783857000</v>
      </c>
      <c r="F8" s="8" t="s">
        <v>89</v>
      </c>
    </row>
    <row r="9" spans="1:6" x14ac:dyDescent="0.25">
      <c r="A9" t="s">
        <v>90</v>
      </c>
      <c r="B9" s="18">
        <v>-4499000</v>
      </c>
      <c r="C9" s="18">
        <v>-225440000</v>
      </c>
      <c r="D9" s="18">
        <v>-809373000</v>
      </c>
      <c r="E9" s="18">
        <v>-1358382000</v>
      </c>
      <c r="F9" s="8" t="s">
        <v>91</v>
      </c>
    </row>
    <row r="10" spans="1:6" x14ac:dyDescent="0.25">
      <c r="A10" t="s">
        <v>92</v>
      </c>
      <c r="B10" s="18">
        <v>14606176000</v>
      </c>
      <c r="C10" s="18">
        <v>13100490000</v>
      </c>
      <c r="D10" s="18">
        <v>14058925000</v>
      </c>
      <c r="E10" s="18">
        <v>13621530000</v>
      </c>
      <c r="F10" s="8" t="s">
        <v>93</v>
      </c>
    </row>
    <row r="11" spans="1:6" x14ac:dyDescent="0.25">
      <c r="A11" t="s">
        <v>94</v>
      </c>
      <c r="B11" s="18">
        <v>209893000</v>
      </c>
      <c r="C11" s="18">
        <v>190765000</v>
      </c>
      <c r="D11" s="18">
        <v>402415000</v>
      </c>
      <c r="E11" s="18">
        <v>946987000</v>
      </c>
      <c r="F11" s="8" t="s">
        <v>95</v>
      </c>
    </row>
    <row r="12" spans="1:6" x14ac:dyDescent="0.25">
      <c r="A12" t="s">
        <v>32</v>
      </c>
      <c r="B12" s="34">
        <v>477742311</v>
      </c>
      <c r="C12" s="34">
        <v>515030548</v>
      </c>
      <c r="D12" s="34">
        <v>427400849</v>
      </c>
      <c r="E12" s="34">
        <v>419773195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2026-09-19T01:05:47Z</dcterms:modified>
</cp:coreProperties>
</file>