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<sst xmlns="http://schemas.openxmlformats.org/spreadsheetml/2006/main" count="121" uniqueCount="108">
  <si>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Norwegian Cruise Line Holdings Ltd. (NCLH)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</si>
  <si>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</si>
  <si>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</si>
  <si>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</si>
  <si>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</si>
  <si>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</si>
  <si>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</si>
  <si>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</si>
  <si>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</si>
  <si>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</si>
  <si>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</si>
  <si>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</si>
  <si>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</si>
  <si>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</si>
  <si>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</si>
  <si>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</si>
  <si>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</si>
  <si>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</si>
  <si>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</si>
  <si>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</si>
  <si>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</si>
  <si>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</si>
  <si>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</si>
  <si>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</si>
  <si>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 rating at 1.6x interest cover, capped at 200bp because one year's cover is too noisy to charge more. Book interest / average debt was lower, at 6.9%.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</si>
  <si>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</si>
  <si>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</si>
  <si>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</si>
  <si>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</si>
  <si>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</si>
  <si>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</si>
  <si>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</si>
  <si>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</si>
  <si>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</si>
  <si>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</si>
  <si>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</si>
  <si>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</si>
  <si>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</si>
  <si>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</si>
  <si>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</si>
  <si>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</si>
  <si>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</si>
  <si>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</si>
  <si>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</si>
  <si>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</si>
  <si>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</si>
  <si>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</si>
  <si>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</si>
  <si>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</si>
  <si>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</si>
  <si>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</si>
  <si>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</si>
  <si>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</si>
  <si>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</si>
  <si>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</si>
  <si>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</si>
  <si>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</si>
  <si>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</si>
  <si>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</si>
  <si>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</si>
  <si>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</si>
  <si>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</si>
  <si>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</si>
  <si>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</si>
  <si>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</si>
  <si>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</si>
  <si>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</si>
  <si>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</si>
  <si>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</si>
  <si>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</si>
  <si>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</si>
  <si>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</si>
  <si>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</si>
  <si>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</si>
  <si>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</si>
  <si>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</si>
  <si>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</si>
  <si>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</si>
  <si>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</si>
  <si>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</si>
  <si>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</si>
  <si>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</si>
  <si>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</si>
  <si>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</si>
  <si>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</si>
  <si>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</si>
  <si>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</si>
  <si>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</si>
  <si>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</si>
  <si>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</si>
  <si>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</si>
  <si>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</si>
  <si>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</si>
  <si>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</si>
  <si>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</si>
  <si>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</si>
  <si>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</si>
  <si>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</si>
  <si>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</si>
  <si>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</si>
  <si>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</si>
  <si>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</si>
  <si>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</si>
  <si>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</si>
  <si>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</si>
  <si>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</si>
  <si>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28.7% of revenue against depreciation of 12.3%.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</si>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</sst>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0.027436704739065343</v>
      </c>
    </row>
    <row r="7" spans="1:2" x14ac:dyDescent="0.25">
      <c r="A7" t="s">
        <v>4</v>
      </c>
      <c r="B7" s="5">
        <v>0.025494893002805524</v>
      </c>
    </row>
    <row r="8" spans="1:2" x14ac:dyDescent="0.25">
      <c r="A8" t="s">
        <v>5</v>
      </c>
      <c r="B8" s="5">
        <v>0.012770543080464918</v>
      </c>
    </row>
    <row r="9" spans="1:2" x14ac:dyDescent="0.25">
      <c r="A9" t="s">
        <v>6</v>
      </c>
      <c r="B9" s="5">
        <v>0.12287105341604145</v>
      </c>
    </row>
    <row r="10" spans="1:3" x14ac:dyDescent="0.25">
      <c r="A10" t="s">
        <v>7</v>
      </c>
      <c r="B10" s="5">
        <v>0.2873458217486622</v>
      </c>
      <c r="C10" s="6" t="s">
        <v>8</v>
      </c>
    </row>
    <row r="11" spans="1:2" x14ac:dyDescent="0.25">
      <c r="A11" t="s">
        <v>9</v>
      </c>
      <c r="B11" s="5">
        <v>0.028651588275527842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8.250440949901872</v>
      </c>
    </row>
    <row r="14" spans="1:3" x14ac:dyDescent="0.25">
      <c r="A14" t="s">
        <v>12</v>
      </c>
      <c r="B14" s="5">
        <v>0.09163469334816286</v>
      </c>
      <c r="C14" s="6" t="s">
        <v>13</v>
      </c>
    </row>
    <row r="15" spans="1:3" x14ac:dyDescent="0.25">
      <c r="A15" t="s">
        <v>14</v>
      </c>
      <c r="B15" s="5">
        <v>0.12287105341604145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1.64052</v>
      </c>
      <c r="C19" s="6" t="s">
        <v>21</v>
      </c>
    </row>
    <row r="20" spans="1:2" x14ac:dyDescent="0.25">
      <c r="A20" t="s">
        <v>22</v>
      </c>
      <c r="B20" s="9">
        <f>B17+B19*B18</f>
        <v>0.118333996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8069469696</v>
      </c>
    </row>
    <row r="23" spans="1:2" x14ac:dyDescent="0.25">
      <c r="A23" t="s">
        <v>26</v>
      </c>
      <c r="B23" s="10">
        <v>14606176000</v>
      </c>
    </row>
    <row r="24" spans="1:2" x14ac:dyDescent="0.25">
      <c r="A24" t="s">
        <v>27</v>
      </c>
      <c r="B24" s="9">
        <f>B22/(B22+B23)</f>
        <v>0.3558650458815142</v>
      </c>
    </row>
    <row r="25" spans="1:2" x14ac:dyDescent="0.25">
      <c r="A25" t="s">
        <v>28</v>
      </c>
      <c r="B25" s="9">
        <f>1-B24</f>
        <v>0.6441349541184858</v>
      </c>
    </row>
    <row r="26" spans="1:2" x14ac:dyDescent="0.25">
      <c r="A26" t="s">
        <v>29</v>
      </c>
      <c r="B26" s="11">
        <f>B24*B20+B25*B21*(1-B8)</f>
        <v>0.08595049944049915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9827592000</v>
      </c>
      <c r="C29" s="6" t="s">
        <v>32</v>
      </c>
    </row>
    <row r="30" spans="1:2" x14ac:dyDescent="0.25">
      <c r="A30" t="s">
        <v>33</v>
      </c>
      <c r="B30" s="10">
        <v>14396283000</v>
      </c>
    </row>
    <row r="31" spans="1:2" x14ac:dyDescent="0.25">
      <c r="A31" t="s">
        <v>34</v>
      </c>
      <c r="B31" s="12">
        <v>477742311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0.027436704739065343</v>
      </c>
      <c r="C5" s="5">
        <v>0.04931484200485681</v>
      </c>
      <c r="D5" s="5">
        <v>0.04627548675424971</v>
      </c>
      <c r="E5" s="5">
        <v>0.043236131503642604</v>
      </c>
      <c r="F5" s="5">
        <v>0.040196776253035506</v>
      </c>
      <c r="G5" s="5">
        <v>0.0371574210024284</v>
      </c>
      <c r="H5" s="5">
        <v>0.0341180657518213</v>
      </c>
      <c r="I5" s="5">
        <v>0.031078710501214205</v>
      </c>
      <c r="J5" s="5">
        <v>0.028039355250607103</v>
      </c>
      <c r="K5" s="5">
        <v>0.025</v>
      </c>
    </row>
    <row r="6" spans="1:11" x14ac:dyDescent="0.25">
      <c r="A6" t="s">
        <v>50</v>
      </c>
      <c r="B6" s="18">
        <f>Assumptions!B29*(1+B5)</f>
        <v>10097228740</v>
      </c>
      <c r="C6" s="18">
        <f>B6*(1+C5)</f>
        <v>10595171980</v>
      </c>
      <c r="D6" s="18">
        <f>C6*(1+D5)</f>
        <v>11085468720.619488</v>
      </c>
      <c r="E6" s="18">
        <f>D6*(1+E5)</f>
        <v>11564761504.00371</v>
      </c>
      <c r="F6" s="18">
        <f>E6*(1+F5)</f>
        <v>12029627634.599865</v>
      </c>
      <c r="G6" s="18">
        <f>F6*(1+G5)</f>
        <v>12476617573.121138</v>
      </c>
      <c r="H6" s="18">
        <f>G6*(1+H5)</f>
        <v>12902295631.841213</v>
      </c>
      <c r="I6" s="18">
        <f>H6*(1+I5)</f>
        <v>13303282342.584288</v>
      </c>
      <c r="J6" s="18">
        <f>I6*(1+J5)</f>
        <v>13676297802.187138</v>
      </c>
      <c r="K6" s="18">
        <f>J6*(1+K5)</f>
        <v>14018205247.241816</v>
      </c>
    </row>
    <row r="7" spans="1:11" x14ac:dyDescent="0.25">
      <c r="A7" t="s">
        <v>4</v>
      </c>
      <c r="B7" s="9">
        <f>Assumptions!B7</f>
        <v>0.025494893002805524</v>
      </c>
      <c r="C7" s="9">
        <f>Assumptions!B7</f>
        <v>0.025494893002805524</v>
      </c>
      <c r="D7" s="9">
        <f>Assumptions!B7</f>
        <v>0.025494893002805524</v>
      </c>
      <c r="E7" s="9">
        <f>Assumptions!B7</f>
        <v>0.025494893002805524</v>
      </c>
      <c r="F7" s="9">
        <f>Assumptions!B7</f>
        <v>0.025494893002805524</v>
      </c>
      <c r="G7" s="9">
        <f>Assumptions!B7</f>
        <v>0.025494893002805524</v>
      </c>
      <c r="H7" s="9">
        <f>Assumptions!B7</f>
        <v>0.025494893002805524</v>
      </c>
      <c r="I7" s="9">
        <f>Assumptions!B7</f>
        <v>0.025494893002805524</v>
      </c>
      <c r="J7" s="9">
        <f>Assumptions!B7</f>
        <v>0.025494893002805524</v>
      </c>
      <c r="K7" s="9">
        <f>Assumptions!B7</f>
        <v>0.025494893002805524</v>
      </c>
    </row>
    <row r="8" spans="1:11" x14ac:dyDescent="0.25">
      <c r="A8" t="s">
        <v>51</v>
      </c>
      <c r="B8" s="18">
        <f>B6*B7</f>
        <v>257427766.35115284</v>
      </c>
      <c r="C8" s="18">
        <f>C6*C7</f>
        <v>270122775.97642314</v>
      </c>
      <c r="D8" s="18">
        <f>D6*D7</f>
        <v>282622838.9181413</v>
      </c>
      <c r="E8" s="18">
        <f>E6*E7</f>
        <v>294842357.1475389</v>
      </c>
      <c r="F8" s="18">
        <f>F6*F7</f>
        <v>306694069.4077161</v>
      </c>
      <c r="G8" s="18">
        <f>G6*G7</f>
        <v>318090030.06364655</v>
      </c>
      <c r="H8" s="18">
        <f>H6*H7</f>
        <v>328942646.6243568</v>
      </c>
      <c r="I8" s="18">
        <f>I6*I7</f>
        <v>339165759.91029847</v>
      </c>
      <c r="J8" s="18">
        <f>J6*J7</f>
        <v>348675749.14126545</v>
      </c>
      <c r="K8" s="18">
        <f>K6*K7</f>
        <v>357392642.86979705</v>
      </c>
    </row>
    <row r="9" spans="1:11" x14ac:dyDescent="0.25">
      <c r="A9" t="s">
        <v>52</v>
      </c>
      <c r="B9" s="18">
        <f>B8*(1-Assumptions!B8)</f>
        <v>254140273.9708576</v>
      </c>
      <c r="C9" s="18">
        <f>C8*(1-Assumptions!B8)</f>
        <v>266673161.42880148</v>
      </c>
      <c r="D9" s="18">
        <f>D8*(1-Assumptions!B8)</f>
        <v>279013591.7782139</v>
      </c>
      <c r="E9" s="18">
        <f>E8*(1-Assumptions!B8)</f>
        <v>291077060.1236404</v>
      </c>
      <c r="F9" s="18">
        <f>F8*(1-Assumptions!B8)</f>
        <v>302777419.5818218</v>
      </c>
      <c r="G9" s="18">
        <f>G8*(1-Assumptions!B8)</f>
        <v>314027847.6312524</v>
      </c>
      <c r="H9" s="18">
        <f>H8*(1-Assumptions!B8)</f>
        <v>324741870.3846383</v>
      </c>
      <c r="I9" s="18">
        <f>I8*(1-Assumptions!B8)</f>
        <v>334834428.9619454</v>
      </c>
      <c r="J9" s="18">
        <f>J8*(1-Assumptions!B8)</f>
        <v>344222970.46574354</v>
      </c>
      <c r="K9" s="18">
        <f>K8*(1-Assumptions!B8)</f>
        <v>352828544.72738713</v>
      </c>
    </row>
    <row r="10" spans="1:11" x14ac:dyDescent="0.25">
      <c r="A10" t="s">
        <v>53</v>
      </c>
      <c r="B10" s="18">
        <f>B6*Assumptions!B9</f>
        <v>1240657131.8665287</v>
      </c>
      <c r="C10" s="18">
        <f>C6*Assumptions!B9</f>
        <v>1301839942.3067255</v>
      </c>
      <c r="D10" s="18">
        <f>D6*Assumptions!B9</f>
        <v>1362083219.3130937</v>
      </c>
      <c r="E10" s="18">
        <f>E6*Assumptions!B9</f>
        <v>1420974428.5022197</v>
      </c>
      <c r="F10" s="18">
        <f>F6*Assumptions!B9</f>
        <v>1478093019.6660082</v>
      </c>
      <c r="G10" s="18">
        <f>G6*Assumptions!B9</f>
        <v>1533015144.2784886</v>
      </c>
      <c r="H10" s="18">
        <f>H6*Assumptions!B9</f>
        <v>1585318655.7695198</v>
      </c>
      <c r="I10" s="18">
        <f>I6*Assumptions!B9</f>
        <v>1634588315.324355</v>
      </c>
      <c r="J10" s="18">
        <f>J6*Assumptions!B9</f>
        <v>1680421117.786226</v>
      </c>
      <c r="K10" s="18">
        <f>K6*Assumptions!B9</f>
        <v>1722431645.7308817</v>
      </c>
    </row>
    <row r="11" spans="1:11" x14ac:dyDescent="0.25">
      <c r="A11" t="s">
        <v>54</v>
      </c>
      <c r="B11" s="18">
        <f>-B6*B19</f>
        <v>-2901396489.6795087</v>
      </c>
      <c r="C11" s="18">
        <f>-C6*C19</f>
        <v>-2858935728.483884</v>
      </c>
      <c r="D11" s="18">
        <f>-D6*D19</f>
        <v>-2797105622.8416843</v>
      </c>
      <c r="E11" s="18">
        <f>-E6*E19</f>
        <v>-2715519525.2230487</v>
      </c>
      <c r="F11" s="18">
        <f>-F6*F19</f>
        <v>-2614011795.3207474</v>
      </c>
      <c r="G11" s="18">
        <f>-G6*G19</f>
        <v>-2492651182.832918</v>
      </c>
      <c r="H11" s="18">
        <f>-H6*H19</f>
        <v>-2351750595.587083</v>
      </c>
      <c r="I11" s="18">
        <f>-I6*I19</f>
        <v>-2191872867.3240657</v>
      </c>
      <c r="J11" s="18">
        <f>-J6*J19</f>
        <v>-2013832217.7245963</v>
      </c>
      <c r="K11" s="18">
        <f>-K6*K19</f>
        <v>-1818691187.7874112</v>
      </c>
    </row>
    <row r="12" spans="1:11" x14ac:dyDescent="0.25">
      <c r="A12" t="s">
        <v>55</v>
      </c>
      <c r="B12" s="18">
        <f>-(B6-Assumptions!B29)*Assumptions!B11</f>
        <v>-7725520.858435549</v>
      </c>
      <c r="C12" s="18">
        <f>-(C6-B6)*Assumptions!B11</f>
        <v>-14266864.697062347</v>
      </c>
      <c r="D12" s="18">
        <f>-(D6-C6)*Assumptions!B11</f>
        <v>-14047780.345062831</v>
      </c>
      <c r="E12" s="18">
        <f>-(E6-D6)*Assumptions!B11</f>
        <v>-13732499.492956482</v>
      </c>
      <c r="F12" s="18">
        <f>-(F6-E6)*Assumptions!B11</f>
        <v>-13319152.977078794</v>
      </c>
      <c r="G12" s="18">
        <f>-(G6-F6)*Assumptions!B11</f>
        <v>-12806971.681815006</v>
      </c>
      <c r="H12" s="18">
        <f>-(H6-G6)*Assumptions!B11</f>
        <v>-12196352.47637357</v>
      </c>
      <c r="I12" s="18">
        <f>-(I6-H6)*Assumptions!B11</f>
        <v>-11488906.140168745</v>
      </c>
      <c r="J12" s="18">
        <f>-(J6-I6)*Assumptions!B11</f>
        <v>-10687485.368947646</v>
      </c>
      <c r="K12" s="18">
        <f>-(K6-J6)*Assumptions!B11</f>
        <v>-9796191.34404429</v>
      </c>
    </row>
    <row r="13" spans="1:11" x14ac:dyDescent="0.25">
      <c r="A13" s="19" t="s">
        <v>56</v>
      </c>
      <c r="B13" s="20">
        <f>B9+B10+B11+B12</f>
        <v>-1414324604.700558</v>
      </c>
      <c r="C13" s="20">
        <f>C9+C10+C11+C12</f>
        <v>-1304689489.445419</v>
      </c>
      <c r="D13" s="20">
        <f>D9+D10+D11+D12</f>
        <v>-1170056592.0954394</v>
      </c>
      <c r="E13" s="20">
        <f>E9+E10+E11+E12</f>
        <v>-1017200536.090145</v>
      </c>
      <c r="F13" s="20">
        <f>F9+F10+F11+F12</f>
        <v>-846460509.0499963</v>
      </c>
      <c r="G13" s="20">
        <f>G9+G10+G11+G12</f>
        <v>-658415162.6049923</v>
      </c>
      <c r="H13" s="20">
        <f>H9+H10+H11+H12</f>
        <v>-453886421.9092983</v>
      </c>
      <c r="I13" s="20">
        <f>I9+I10+I11+I12</f>
        <v>-233939029.17793426</v>
      </c>
      <c r="J13" s="20">
        <f>J9+J10+J11+J12</f>
        <v>124385.15842566825</v>
      </c>
      <c r="K13" s="20">
        <f>K9+K10+K11+K12</f>
        <v>246772811.32681337</v>
      </c>
    </row>
    <row r="14" spans="1:11" x14ac:dyDescent="0.25">
      <c r="A14" t="s">
        <v>57</v>
      </c>
      <c r="B14" s="21">
        <f>1/(1+Assumptions!$B$26)^(1-0.5*Assumptions!$B$32)</f>
        <v>0.9596104866553283</v>
      </c>
      <c r="C14" s="21">
        <f>1/(1+Assumptions!$B$26)^(2-0.5*Assumptions!$B$32)</f>
        <v>0.8836595104010142</v>
      </c>
      <c r="D14" s="21">
        <f>1/(1+Assumptions!$B$26)^(3-0.5*Assumptions!$B$32)</f>
        <v>0.8137198802857877</v>
      </c>
      <c r="E14" s="21">
        <f>1/(1+Assumptions!$B$26)^(4-0.5*Assumptions!$B$32)</f>
        <v>0.7493158120052714</v>
      </c>
      <c r="F14" s="21">
        <f>1/(1+Assumptions!$B$26)^(5-0.5*Assumptions!$B$32)</f>
        <v>0.6900091784950899</v>
      </c>
      <c r="G14" s="21">
        <f>1/(1+Assumptions!$B$26)^(6-0.5*Assumptions!$B$32)</f>
        <v>0.635396529446411</v>
      </c>
      <c r="H14" s="21">
        <f>1/(1+Assumptions!$B$26)^(7-0.5*Assumptions!$B$32)</f>
        <v>0.5851063467200195</v>
      </c>
      <c r="I14" s="21">
        <f>1/(1+Assumptions!$B$26)^(8-0.5*Assumptions!$B$32)</f>
        <v>0.5387965169880916</v>
      </c>
      <c r="J14" s="21">
        <f>1/(1+Assumptions!$B$26)^(9-0.5*Assumptions!$B$32)</f>
        <v>0.4961520044105962</v>
      </c>
      <c r="K14" s="21">
        <f>1/(1+Assumptions!$B$26)^(10-0.5*Assumptions!$B$32)</f>
        <v>0.4568827075140372</v>
      </c>
    </row>
    <row r="15" spans="1:11" x14ac:dyDescent="0.25">
      <c r="A15" s="19" t="s">
        <v>58</v>
      </c>
      <c r="B15" s="20">
        <f>B13*B14</f>
        <v>-1357200722.2053072</v>
      </c>
      <c r="C15" s="20">
        <f>C13*C14</f>
        <v>-1152901275.4686882</v>
      </c>
      <c r="D15" s="20">
        <f>D13*D14</f>
        <v>-952098310.0474976</v>
      </c>
      <c r="E15" s="20">
        <f>E13*E14</f>
        <v>-762204445.6725844</v>
      </c>
      <c r="F15" s="20">
        <f>F13*F14</f>
        <v>-584065520.4781235</v>
      </c>
      <c r="G15" s="20">
        <f>G13*G14</f>
        <v>-418354709.25410646</v>
      </c>
      <c r="H15" s="20">
        <f>H13*H14</f>
        <v>-265571826.14917094</v>
      </c>
      <c r="I15" s="20">
        <f>I13*I14</f>
        <v>-126045534.10864651</v>
      </c>
      <c r="J15" s="20">
        <f>J13*J14</f>
        <v>61713.94567182486</v>
      </c>
      <c r="K15" s="20">
        <f>K13*K14</f>
        <v>112746230.17984515</v>
      </c>
    </row>
    <row r="17" spans="1:2" x14ac:dyDescent="0.25">
      <c r="A17" s="22" t="s">
        <v>59</v>
      </c>
      <c r="B17" s="23">
        <f>SUM(B15:K15)</f>
        <v>-5505634399.258608</v>
      </c>
    </row>
    <row r="19" spans="1:11" x14ac:dyDescent="0.25">
      <c r="A19" t="s">
        <v>7</v>
      </c>
      <c r="B19" s="9">
        <f>Assumptions!$B$10+($B$20-Assumptions!$B$10)*0/9</f>
        <v>0.2873458217486622</v>
      </c>
      <c r="C19" s="9">
        <f>Assumptions!$B$10+($B$20-Assumptions!$B$10)*1/9</f>
        <v>0.2698338199588039</v>
      </c>
      <c r="D19" s="9">
        <f>Assumptions!$B$10+($B$20-Assumptions!$B$10)*2/9</f>
        <v>0.2523218181689456</v>
      </c>
      <c r="E19" s="9">
        <f>Assumptions!$B$10+($B$20-Assumptions!$B$10)*3/9</f>
        <v>0.23480981637908732</v>
      </c>
      <c r="F19" s="9">
        <f>Assumptions!$B$10+($B$20-Assumptions!$B$10)*4/9</f>
        <v>0.21729781458922903</v>
      </c>
      <c r="G19" s="9">
        <f>Assumptions!$B$10+($B$20-Assumptions!$B$10)*5/9</f>
        <v>0.1997858127993707</v>
      </c>
      <c r="H19" s="9">
        <f>Assumptions!$B$10+($B$20-Assumptions!$B$10)*6/9</f>
        <v>0.18227381100951243</v>
      </c>
      <c r="I19" s="9">
        <f>Assumptions!$B$10+($B$20-Assumptions!$B$10)*7/9</f>
        <v>0.1647618092196541</v>
      </c>
      <c r="J19" s="9">
        <f>Assumptions!$B$10+($B$20-Assumptions!$B$10)*8/9</f>
        <v>0.14724980742979585</v>
      </c>
      <c r="K19" s="9">
        <f>Assumptions!$B$10+($B$20-Assumptions!$B$10)*9/9</f>
        <v>0.12973780563993753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0.12973780563993753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246772811.32681337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352828544.72738713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0.2728224331478184</v>
      </c>
    </row>
    <row r="7" spans="1:2" x14ac:dyDescent="0.25">
      <c r="A7" t="s">
        <v>66</v>
      </c>
      <c r="B7" s="18">
        <f>-MAX(B5,0)*B6</f>
        <v>-96259542.05652963</v>
      </c>
    </row>
    <row r="8" spans="1:2" x14ac:dyDescent="0.25">
      <c r="A8" t="s">
        <v>67</v>
      </c>
      <c r="B8" s="18">
        <f>IF(OR(Assumptions!$B$33=0,Assumptions!B12&lt;=0),B5,MAX(B5+B7,0))</f>
        <v>256569002.6708575</v>
      </c>
    </row>
    <row r="9" spans="1:2" x14ac:dyDescent="0.25">
      <c r="A9" t="s">
        <v>68</v>
      </c>
      <c r="B9" s="18">
        <f>B8*(1+Assumptions!B12)/(Assumptions!B26-Assumptions!B12)</f>
        <v>4314701768.676355</v>
      </c>
    </row>
    <row r="10" spans="1:2" x14ac:dyDescent="0.25">
      <c r="A10" t="s">
        <v>69</v>
      </c>
      <c r="B10" s="18">
        <f>B9/(1+Assumptions!B26)^(10-0.5*Assumptions!B32)</f>
        <v>1971312626.1884582</v>
      </c>
    </row>
    <row r="11" spans="1:2" x14ac:dyDescent="0.25">
      <c r="A11" t="s">
        <v>70</v>
      </c>
      <c r="B11" s="18">
        <f>Forecast!B17+B10</f>
        <v>-3534321773.0701494</v>
      </c>
    </row>
    <row r="12" spans="1:2" x14ac:dyDescent="0.25">
      <c r="A12" t="s">
        <v>71</v>
      </c>
      <c r="B12" s="18">
        <f>-Assumptions!B30</f>
        <v>-14396283000</v>
      </c>
    </row>
    <row r="13" spans="1:2" x14ac:dyDescent="0.25">
      <c r="A13" t="s">
        <v>72</v>
      </c>
      <c r="B13" s="18">
        <f>B11+B12</f>
        <v>-17930604773.07015</v>
      </c>
    </row>
    <row r="14" spans="1:2" x14ac:dyDescent="0.25">
      <c r="A14" s="19" t="s">
        <v>73</v>
      </c>
      <c r="B14" s="24">
        <f>B13/Assumptions!B31</f>
        <v>-37.531958882892724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2079824288.6006787</v>
      </c>
    </row>
    <row r="18" spans="1:2" x14ac:dyDescent="0.25">
      <c r="A18" t="s">
        <v>68</v>
      </c>
      <c r="B18" s="18">
        <f>B17*Assumptions!B13</f>
        <v>17159467479.271568</v>
      </c>
    </row>
    <row r="19" spans="1:2" x14ac:dyDescent="0.25">
      <c r="A19" t="s">
        <v>69</v>
      </c>
      <c r="B19" s="18">
        <f>B18/(1+Assumptions!B26)^(10-0.5*Assumptions!B32)</f>
        <v>7839863961.428665</v>
      </c>
    </row>
    <row r="20" spans="1:2" x14ac:dyDescent="0.25">
      <c r="A20" t="s">
        <v>70</v>
      </c>
      <c r="B20" s="18">
        <f>Forecast!B17+B19</f>
        <v>2334229562.1700573</v>
      </c>
    </row>
    <row r="21" spans="1:2" x14ac:dyDescent="0.25">
      <c r="A21" t="s">
        <v>71</v>
      </c>
      <c r="B21" s="18">
        <f>-Assumptions!B30</f>
        <v>-14396283000</v>
      </c>
    </row>
    <row r="22" spans="1:2" x14ac:dyDescent="0.25">
      <c r="A22" t="s">
        <v>72</v>
      </c>
      <c r="B22" s="18">
        <f>B20+B21</f>
        <v>-12062053437.829943</v>
      </c>
    </row>
    <row r="23" spans="1:2" x14ac:dyDescent="0.25">
      <c r="A23" s="19" t="s">
        <v>73</v>
      </c>
      <c r="B23" s="25">
        <f>B22/Assumptions!B31</f>
        <v>-25.24803259016751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17.57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-37.531958882892724</v>
      </c>
    </row>
    <row r="29" spans="1:2" x14ac:dyDescent="0.25">
      <c r="A29" s="19" t="s">
        <v>81</v>
      </c>
      <c r="B29" s="11">
        <f>B28/B26-1</f>
        <v>-3.136138809498732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0.06595</v>
      </c>
      <c r="B5" s="31">
        <v>-35.27273387264862</v>
      </c>
      <c r="C5" s="31">
        <v>-35.11441881905722</v>
      </c>
      <c r="D5" s="31">
        <v>-34.893369073873</v>
      </c>
      <c r="E5" s="31">
        <v>-34.58340882697376</v>
      </c>
      <c r="F5" s="31">
        <v>-34.14144736670441</v>
      </c>
    </row>
    <row r="6" spans="1:6" x14ac:dyDescent="0.25">
      <c r="A6" s="30">
        <v>0.07595</v>
      </c>
      <c r="B6" s="31">
        <v>-36.57612229231441</v>
      </c>
      <c r="C6" s="31">
        <v>-36.56982223514389</v>
      </c>
      <c r="D6" s="31">
        <v>-36.543996534286755</v>
      </c>
      <c r="E6" s="31">
        <v>-36.492271203773484</v>
      </c>
      <c r="F6" s="31">
        <v>-36.40515919977401</v>
      </c>
    </row>
    <row r="7" spans="1:6" x14ac:dyDescent="0.25">
      <c r="A7" s="30">
        <v>0.08595</v>
      </c>
      <c r="B7" s="31">
        <v>-37.40817691209872</v>
      </c>
      <c r="C7" s="31">
        <v>-37.47204136622408</v>
      </c>
      <c r="D7" s="32">
        <v>-37.53192050527866</v>
      </c>
      <c r="E7" s="31">
        <v>-37.58674588018181</v>
      </c>
      <c r="F7" s="31">
        <v>-37.63502963102633</v>
      </c>
    </row>
    <row r="8" spans="1:6" x14ac:dyDescent="0.25">
      <c r="A8" s="30">
        <v>0.09595</v>
      </c>
      <c r="B8" s="31">
        <v>-37.90839572059513</v>
      </c>
      <c r="C8" s="31">
        <v>-37.988110882253274</v>
      </c>
      <c r="D8" s="31">
        <v>-38.06782604391141</v>
      </c>
      <c r="E8" s="31">
        <v>-38.14754120556955</v>
      </c>
      <c r="F8" s="31">
        <v>-38.22725636722769</v>
      </c>
    </row>
    <row r="9" spans="1:6" x14ac:dyDescent="0.25">
      <c r="A9" s="30">
        <v>0.10595</v>
      </c>
      <c r="B9" s="31">
        <v>-38.195864986751715</v>
      </c>
      <c r="C9" s="31">
        <v>-38.26427617284064</v>
      </c>
      <c r="D9" s="31">
        <v>-38.33268735892956</v>
      </c>
      <c r="E9" s="31">
        <v>-38.401098545018485</v>
      </c>
      <c r="F9" s="31">
        <v>-38.46950973110741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9827592000</v>
      </c>
      <c r="C5" s="18">
        <v>9479651000</v>
      </c>
      <c r="D5" s="18">
        <v>8549924000</v>
      </c>
      <c r="E5" s="18">
        <v>4843760000</v>
      </c>
      <c r="F5" s="6" t="s">
        <v>91</v>
      </c>
    </row>
    <row r="6" spans="1:6" x14ac:dyDescent="0.25">
      <c r="A6" t="s">
        <v>51</v>
      </c>
      <c r="B6" s="18">
        <v>1560868000</v>
      </c>
      <c r="C6" s="18">
        <v>1465906000</v>
      </c>
      <c r="D6" s="18">
        <v>930911000</v>
      </c>
      <c r="E6" s="18">
        <v>-1551757000</v>
      </c>
      <c r="F6" s="6" t="s">
        <v>92</v>
      </c>
    </row>
    <row r="7" spans="1:6" x14ac:dyDescent="0.25">
      <c r="A7" t="s">
        <v>93</v>
      </c>
      <c r="B7" s="18">
        <v>1162108000</v>
      </c>
      <c r="C7" s="18">
        <v>973512000</v>
      </c>
      <c r="D7" s="18">
        <v>883236000</v>
      </c>
      <c r="E7" s="18">
        <v>810053000</v>
      </c>
      <c r="F7" s="6" t="s">
        <v>94</v>
      </c>
    </row>
    <row r="8" spans="1:6" x14ac:dyDescent="0.25">
      <c r="A8" t="s">
        <v>95</v>
      </c>
      <c r="B8" s="18">
        <v>3259606000</v>
      </c>
      <c r="C8" s="18">
        <v>1210952000</v>
      </c>
      <c r="D8" s="18">
        <v>2750362000</v>
      </c>
      <c r="E8" s="18">
        <v>1783857000</v>
      </c>
      <c r="F8" s="6" t="s">
        <v>96</v>
      </c>
    </row>
    <row r="9" spans="1:6" x14ac:dyDescent="0.25">
      <c r="A9" t="s">
        <v>97</v>
      </c>
      <c r="B9" s="18">
        <v>-4499000</v>
      </c>
      <c r="C9" s="18">
        <v>-225440000</v>
      </c>
      <c r="D9" s="18">
        <v>-809373000</v>
      </c>
      <c r="E9" s="18">
        <v>-1358382000</v>
      </c>
      <c r="F9" s="6" t="s">
        <v>98</v>
      </c>
    </row>
    <row r="10" spans="1:6" x14ac:dyDescent="0.25">
      <c r="A10" t="s">
        <v>99</v>
      </c>
      <c r="B10" s="18">
        <v>14606176000</v>
      </c>
      <c r="C10" s="18">
        <v>13100490000</v>
      </c>
      <c r="D10" s="18">
        <v>14058925000</v>
      </c>
      <c r="E10" s="18">
        <v>13621530000</v>
      </c>
      <c r="F10" s="6" t="s">
        <v>100</v>
      </c>
    </row>
    <row r="11" spans="1:6" x14ac:dyDescent="0.25">
      <c r="A11" t="s">
        <v>101</v>
      </c>
      <c r="B11" s="18">
        <v>209893000</v>
      </c>
      <c r="C11" s="18">
        <v>190765000</v>
      </c>
      <c r="D11" s="18">
        <v>402415000</v>
      </c>
      <c r="E11" s="18">
        <v>946987000</v>
      </c>
      <c r="F11" s="6" t="s">
        <v>102</v>
      </c>
    </row>
    <row r="12" spans="1:6" x14ac:dyDescent="0.25">
      <c r="A12" t="s">
        <v>34</v>
      </c>
      <c r="B12" s="34">
        <v>477742311</v>
      </c>
      <c r="C12" s="34">
        <v>515030548</v>
      </c>
      <c r="D12" s="34">
        <v>427400849</v>
      </c>
      <c r="E12" s="34">
        <v>419773195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