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<sst xmlns="http://schemas.openxmlformats.org/spreadsheetml/2006/main" count="115" uniqueCount="103">
  <si>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Nordea Bank Abp (NDA-FI.HE)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</si>
  <si>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</si>
  <si>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</si>
  <si>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</si>
  <si>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</si>
  <si>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</si>
  <si>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</si>
  <si>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</si>
  <si>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</si>
  <si>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</si>
  <si>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</si>
  <si>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</si>
  <si>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</si>
  <si>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</si>
  <si>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</si>
  <si>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</si>
  <si>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</si>
  <si>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</si>
  <si>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</si>
  <si>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</si>
  <si>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</si>
  <si>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</si>
  <si>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</si>
  <si>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</si>
  <si>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</si>
  <si>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</si>
  <si>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</si>
  <si>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</si>
  <si>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</si>
  <si>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</si>
  <si>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</si>
  <si>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</si>
  <si>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</si>
  <si>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</si>
  <si>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</si>
  <si>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</si>
  <si>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</si>
  <si>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</si>
  <si>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</si>
  <si>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</si>
  <si>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</si>
  <si>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</si>
  <si>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</si>
  <si>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</si>
  <si>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</si>
  <si>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</si>
  <si>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</si>
  <si>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</si>
  <si>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</si>
  <si>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</si>
  <si>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</si>
  <si>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</si>
  <si>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</si>
  <si>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</si>
  <si>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</si>
  <si>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</si>
  <si>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</si>
  <si>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</si>
  <si>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</si>
  <si>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</si>
  <si>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</si>
  <si>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</si>
  <si>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</si>
  <si>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</si>
  <si>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</si>
  <si>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</si>
  <si>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</si>
  <si>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</si>
  <si>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</si>
  <si>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</si>
  <si>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</si>
  <si>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</si>
  <si>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</si>
  <si>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</si>
  <si>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</si>
  <si>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</si>
  <si>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</si>
  <si>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</si>
  <si>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</si>
  <si>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</si>
  <si>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</si>
  <si>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</si>
  <si>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</si>
  <si>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</si>
  <si>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</si>
  <si>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</si>
  <si>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</si>
  <si>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</si>
  <si>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</si>
  <si>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</si>
  <si>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</si>
  <si>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</si>
  <si>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</si>
  <si>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</si>
  <si>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</si>
  <si>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</si>
  <si>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</si>
  <si>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</si>
  <si>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</si>
  <si>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</si>
  <si>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</si>
  <si>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Current EV/EBITDA of 31.9x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</si>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</sst>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0.06590034898950203</v>
      </c>
    </row>
    <row r="7" spans="1:2" x14ac:dyDescent="0.25">
      <c r="A7" t="s">
        <v>5</v>
      </c>
      <c r="B7" s="6">
        <v>0.5287372980081865</v>
      </c>
    </row>
    <row r="8" spans="1:2" x14ac:dyDescent="0.25">
      <c r="A8" t="s">
        <v>6</v>
      </c>
      <c r="B8" s="6">
        <v>0.23054494447008556</v>
      </c>
    </row>
    <row r="9" spans="1:2" x14ac:dyDescent="0.25">
      <c r="A9" t="s">
        <v>7</v>
      </c>
      <c r="B9" s="6">
        <v>0.05279424818200036</v>
      </c>
    </row>
    <row r="10" spans="1:2" x14ac:dyDescent="0.25">
      <c r="A10" t="s">
        <v>8</v>
      </c>
      <c r="B10" s="6">
        <v>0.0473752801418152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0.05026556534991834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0.7587999999999999</v>
      </c>
      <c r="C19" s="8" t="s">
        <v>19</v>
      </c>
    </row>
    <row r="20" spans="1:2" x14ac:dyDescent="0.25">
      <c r="A20" t="s">
        <v>20</v>
      </c>
      <c r="B20" s="10">
        <f>B17+B19*B18</f>
        <v>0.091322</v>
      </c>
    </row>
    <row r="21" spans="1:3" x14ac:dyDescent="0.25">
      <c r="A21" t="s">
        <v>21</v>
      </c>
      <c r="B21" s="6">
        <v>0.04992918899111644</v>
      </c>
      <c r="C21" s="8" t="s">
        <v>22</v>
      </c>
    </row>
    <row r="22" spans="1:2" x14ac:dyDescent="0.25">
      <c r="A22" t="s">
        <v>23</v>
      </c>
      <c r="B22" s="11">
        <v>59611283456</v>
      </c>
    </row>
    <row r="23" spans="1:2" x14ac:dyDescent="0.25">
      <c r="A23" t="s">
        <v>24</v>
      </c>
      <c r="B23" s="11">
        <v>206581000000</v>
      </c>
    </row>
    <row r="24" spans="1:2" x14ac:dyDescent="0.25">
      <c r="A24" t="s">
        <v>25</v>
      </c>
      <c r="B24" s="10">
        <f>B22/(B22+B23)</f>
        <v>0.2239406893470426</v>
      </c>
    </row>
    <row r="25" spans="1:2" x14ac:dyDescent="0.25">
      <c r="A25" t="s">
        <v>26</v>
      </c>
      <c r="B25" s="10">
        <f>1-B24</f>
        <v>0.7760593106529574</v>
      </c>
    </row>
    <row r="26" spans="1:2" x14ac:dyDescent="0.25">
      <c r="A26" t="s">
        <v>27</v>
      </c>
      <c r="B26" s="12">
        <f>B24*B20+B25*B21*(1-B8)</f>
        <v>0.05026556534991834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11719000000</v>
      </c>
      <c r="C29" s="8" t="s">
        <v>30</v>
      </c>
    </row>
    <row r="30" spans="1:2" x14ac:dyDescent="0.25">
      <c r="A30" t="s">
        <v>31</v>
      </c>
      <c r="B30" s="11">
        <v>161428000000</v>
      </c>
    </row>
    <row r="31" spans="1:2" x14ac:dyDescent="0.25">
      <c r="A31" t="s">
        <v>32</v>
      </c>
      <c r="B31" s="13">
        <v>3458000000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0.06590034898950203</v>
      </c>
      <c r="C5" s="10">
        <f>Assumptions!B6</f>
        <v>0.06590034898950203</v>
      </c>
      <c r="D5" s="10">
        <f>Assumptions!B6</f>
        <v>0.06590034898950203</v>
      </c>
      <c r="E5" s="10">
        <f>Assumptions!B6</f>
        <v>0.06590034898950203</v>
      </c>
      <c r="F5" s="10">
        <f>Assumptions!B6</f>
        <v>0.06590034898950203</v>
      </c>
    </row>
    <row r="6" spans="1:6" x14ac:dyDescent="0.25">
      <c r="A6" t="s">
        <v>43</v>
      </c>
      <c r="B6" s="18">
        <f>Assumptions!B29*(1+B5)</f>
        <v>12491286189.807974</v>
      </c>
      <c r="C6" s="18">
        <f>B6*(1+C5)</f>
        <v>13314466309.044067</v>
      </c>
      <c r="D6" s="18">
        <f>C6*(1+D5)</f>
        <v>14191894285.419039</v>
      </c>
      <c r="E6" s="18">
        <f>D6*(1+E5)</f>
        <v>15127145071.650272</v>
      </c>
      <c r="F6" s="18">
        <f>E6*(1+F5)</f>
        <v>16124029211.086851</v>
      </c>
    </row>
    <row r="7" spans="1:6" x14ac:dyDescent="0.25">
      <c r="A7" t="s">
        <v>5</v>
      </c>
      <c r="B7" s="10">
        <f>Assumptions!B7</f>
        <v>0.5287372980081865</v>
      </c>
      <c r="C7" s="10">
        <f>Assumptions!B7</f>
        <v>0.5287372980081865</v>
      </c>
      <c r="D7" s="10">
        <f>Assumptions!B7</f>
        <v>0.5287372980081865</v>
      </c>
      <c r="E7" s="10">
        <f>Assumptions!B7</f>
        <v>0.5287372980081865</v>
      </c>
      <c r="F7" s="10">
        <f>Assumptions!B7</f>
        <v>0.5287372980081865</v>
      </c>
    </row>
    <row r="8" spans="1:6" x14ac:dyDescent="0.25">
      <c r="A8" t="s">
        <v>44</v>
      </c>
      <c r="B8" s="18">
        <f>B6*B7</f>
        <v>6604608908.646043</v>
      </c>
      <c r="C8" s="18">
        <f>C6*C7</f>
        <v>7039854940.664991</v>
      </c>
      <c r="D8" s="18">
        <f>D6*D7</f>
        <v>7503783838.090285</v>
      </c>
      <c r="E8" s="18">
        <f>E6*E7</f>
        <v>7998285811.762219</v>
      </c>
      <c r="F8" s="18">
        <f>F6*F7</f>
        <v>8525375638.075132</v>
      </c>
    </row>
    <row r="9" spans="1:6" x14ac:dyDescent="0.25">
      <c r="A9" t="s">
        <v>45</v>
      </c>
      <c r="B9" s="18">
        <f>B8*(1-Assumptions!B8)</f>
        <v>5081949714.555609</v>
      </c>
      <c r="C9" s="18">
        <f>C8*(1-Assumptions!B8)</f>
        <v>5416851974.2919235</v>
      </c>
      <c r="D9" s="18">
        <f>D8*(1-Assumptions!B8)</f>
        <v>5773824409.822235</v>
      </c>
      <c r="E9" s="18">
        <f>E8*(1-Assumptions!B8)</f>
        <v>6154321453.433625</v>
      </c>
      <c r="F9" s="18">
        <f>F8*(1-Assumptions!B8)</f>
        <v>6559893385.008481</v>
      </c>
    </row>
    <row r="10" spans="1:6" x14ac:dyDescent="0.25">
      <c r="A10" t="s">
        <v>46</v>
      </c>
      <c r="B10" s="18">
        <f>B6*Assumptions!B9</f>
        <v>659468063.2171159</v>
      </c>
      <c r="C10" s="18">
        <f>C6*Assumptions!B9</f>
        <v>702927238.7305548</v>
      </c>
      <c r="D10" s="18">
        <f>D6*Assumptions!B9</f>
        <v>749250389.0771254</v>
      </c>
      <c r="E10" s="18">
        <f>E6*Assumptions!B9</f>
        <v>798626251.1978282</v>
      </c>
      <c r="F10" s="18">
        <f>F6*Assumptions!B9</f>
        <v>851255999.8639427</v>
      </c>
    </row>
    <row r="11" spans="1:6" x14ac:dyDescent="0.25">
      <c r="A11" t="s">
        <v>47</v>
      </c>
      <c r="B11" s="18">
        <f>-B6*Assumptions!B10</f>
        <v>-591778182.5737401</v>
      </c>
      <c r="C11" s="18">
        <f>-C6*Assumptions!B10</f>
        <v>-630776571.3297229</v>
      </c>
      <c r="D11" s="18">
        <f>-D6*Assumptions!B10</f>
        <v>-672344967.5147532</v>
      </c>
      <c r="E11" s="18">
        <f>-E6*Assumptions!B10</f>
        <v>-716652735.5153108</v>
      </c>
      <c r="F11" s="18">
        <f>-F6*Assumptions!B10</f>
        <v>-763880400.890051</v>
      </c>
    </row>
    <row r="12" spans="1:6" x14ac:dyDescent="0.25">
      <c r="A12" t="s">
        <v>48</v>
      </c>
      <c r="B12" s="18">
        <f>-(B6-Assumptions!B29)*Assumptions!B11</f>
        <v>-772286189.8079739</v>
      </c>
      <c r="C12" s="18">
        <f>-(C6-B6)*Assumptions!B11</f>
        <v>-823180119.2360935</v>
      </c>
      <c r="D12" s="18">
        <f>-(D6-C6)*Assumptions!B11</f>
        <v>-877427976.3749714</v>
      </c>
      <c r="E12" s="18">
        <f>-(E6-D6)*Assumptions!B11</f>
        <v>-935250786.2312336</v>
      </c>
      <c r="F12" s="18">
        <f>-(F6-E6)*Assumptions!B11</f>
        <v>-996884139.4365788</v>
      </c>
    </row>
    <row r="13" spans="1:6" x14ac:dyDescent="0.25">
      <c r="A13" s="19" t="s">
        <v>49</v>
      </c>
      <c r="B13" s="20">
        <f>B9+B10+B11+B12</f>
        <v>4377353405.39101</v>
      </c>
      <c r="C13" s="20">
        <f>C9+C10+C11+C12</f>
        <v>4665822522.456661</v>
      </c>
      <c r="D13" s="20">
        <f>D9+D10+D11+D12</f>
        <v>4973301855.009636</v>
      </c>
      <c r="E13" s="20">
        <f>E9+E10+E11+E12</f>
        <v>5301044182.884909</v>
      </c>
      <c r="F13" s="20">
        <f>F9+F10+F11+F12</f>
        <v>5650384844.5457945</v>
      </c>
    </row>
    <row r="14" spans="1:6" x14ac:dyDescent="0.25">
      <c r="A14" t="s">
        <v>50</v>
      </c>
      <c r="B14" s="21">
        <f>1/(1+Assumptions!$B$26)^(1-0.5*Assumptions!$B$32)</f>
        <v>0.9757766843324462</v>
      </c>
      <c r="C14" s="21">
        <f>1/(1+Assumptions!$B$26)^(2-0.5*Assumptions!$B$32)</f>
        <v>0.9290761465718868</v>
      </c>
      <c r="D14" s="21">
        <f>1/(1+Assumptions!$B$26)^(3-0.5*Assumptions!$B$32)</f>
        <v>0.8846106901184989</v>
      </c>
      <c r="E14" s="21">
        <f>1/(1+Assumptions!$B$26)^(4-0.5*Assumptions!$B$32)</f>
        <v>0.8422733442886629</v>
      </c>
      <c r="F14" s="21">
        <f>1/(1+Assumptions!$B$26)^(5-0.5*Assumptions!$B$32)</f>
        <v>0.801962258000948</v>
      </c>
    </row>
    <row r="15" spans="1:6" x14ac:dyDescent="0.25">
      <c r="A15" s="19" t="s">
        <v>51</v>
      </c>
      <c r="B15" s="20">
        <f>B13*B14</f>
        <v>4271319392.063782</v>
      </c>
      <c r="C15" s="20">
        <f>C13*C14</f>
        <v>4334904409.752356</v>
      </c>
      <c r="D15" s="20">
        <f>D13*D14</f>
        <v>4399435986.127685</v>
      </c>
      <c r="E15" s="20">
        <f>E13*E14</f>
        <v>4464928212.140434</v>
      </c>
      <c r="F15" s="20">
        <f>F13*F14</f>
        <v>4531395388.506281</v>
      </c>
    </row>
    <row r="17" spans="1:2" x14ac:dyDescent="0.25">
      <c r="A17" s="22" t="s">
        <v>52</v>
      </c>
      <c r="B17" s="23">
        <f>SUM(B15:F15)</f>
        <v>22001983388.590538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5650384844.5457945</v>
      </c>
    </row>
    <row r="5" spans="1:2" x14ac:dyDescent="0.25">
      <c r="A5" t="s">
        <v>56</v>
      </c>
      <c r="B5" s="18">
        <f>IF(Assumptions!$B$33=0,B4,B4-Forecast!F11-Forecast!F10-Forecast!F12)</f>
        <v>6559893385.008481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0.4973583769716939</v>
      </c>
    </row>
    <row r="7" spans="1:2" x14ac:dyDescent="0.25">
      <c r="A7" t="s">
        <v>58</v>
      </c>
      <c r="B7" s="18">
        <f>-MAX(Forecast!F9,0)*B6</f>
        <v>-3262617927.075169</v>
      </c>
    </row>
    <row r="8" spans="1:2" x14ac:dyDescent="0.25">
      <c r="A8" t="s">
        <v>59</v>
      </c>
      <c r="B8" s="18">
        <f>IF(OR(Assumptions!$B$33=0,Assumptions!B12&lt;=0),B5,MAX(B5+B7,0))</f>
        <v>3297275457.933312</v>
      </c>
    </row>
    <row r="9" spans="1:2" x14ac:dyDescent="0.25">
      <c r="A9" t="s">
        <v>60</v>
      </c>
      <c r="B9" s="18">
        <f>B8*(1+Assumptions!B12)/(Assumptions!B26-Assumptions!B12)</f>
        <v>133767335010.08191</v>
      </c>
    </row>
    <row r="10" spans="1:2" x14ac:dyDescent="0.25">
      <c r="A10" t="s">
        <v>61</v>
      </c>
      <c r="B10" s="18">
        <f>B9/(1+Assumptions!B26)^(5-0.5*Assumptions!B32)</f>
        <v>107276354031.45456</v>
      </c>
    </row>
    <row r="11" spans="1:2" x14ac:dyDescent="0.25">
      <c r="A11" t="s">
        <v>62</v>
      </c>
      <c r="B11" s="18">
        <f>Forecast!B17+B10</f>
        <v>129278337420.0451</v>
      </c>
    </row>
    <row r="12" spans="1:2" x14ac:dyDescent="0.25">
      <c r="A12" t="s">
        <v>63</v>
      </c>
      <c r="B12" s="18">
        <f>-Assumptions!B30</f>
        <v>-161428000000</v>
      </c>
    </row>
    <row r="13" spans="1:2" x14ac:dyDescent="0.25">
      <c r="A13" t="s">
        <v>64</v>
      </c>
      <c r="B13" s="18">
        <f>B11+B12</f>
        <v>-32149662579.954895</v>
      </c>
    </row>
    <row r="14" spans="1:2" x14ac:dyDescent="0.25">
      <c r="A14" s="19" t="s">
        <v>65</v>
      </c>
      <c r="B14" s="24">
        <f>B13/Assumptions!B31</f>
        <v>-9.297184089055783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9376631637.939075</v>
      </c>
    </row>
    <row r="18" spans="1:2" x14ac:dyDescent="0.25">
      <c r="A18" t="s">
        <v>60</v>
      </c>
      <c r="B18" s="18">
        <f>B17*Assumptions!B13</f>
        <v>187532632758.7815</v>
      </c>
    </row>
    <row r="19" spans="1:2" x14ac:dyDescent="0.25">
      <c r="A19" t="s">
        <v>61</v>
      </c>
      <c r="B19" s="18">
        <f>B18/(1+Assumptions!B26)^(5-0.5*Assumptions!B32)</f>
        <v>150394093616.09497</v>
      </c>
    </row>
    <row r="20" spans="1:2" x14ac:dyDescent="0.25">
      <c r="A20" t="s">
        <v>62</v>
      </c>
      <c r="B20" s="18">
        <f>Forecast!B17+B19</f>
        <v>172396077004.68552</v>
      </c>
    </row>
    <row r="21" spans="1:2" x14ac:dyDescent="0.25">
      <c r="A21" t="s">
        <v>63</v>
      </c>
      <c r="B21" s="18">
        <f>-Assumptions!B30</f>
        <v>-161428000000</v>
      </c>
    </row>
    <row r="22" spans="1:2" x14ac:dyDescent="0.25">
      <c r="A22" t="s">
        <v>64</v>
      </c>
      <c r="B22" s="18">
        <f>B20+B21</f>
        <v>10968077004.685516</v>
      </c>
    </row>
    <row r="23" spans="1:2" x14ac:dyDescent="0.25">
      <c r="A23" s="19" t="s">
        <v>65</v>
      </c>
      <c r="B23" s="25">
        <f>B22/Assumptions!B31</f>
        <v>3.1717978613896807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17.565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-9.297184089055783</v>
      </c>
    </row>
    <row r="29" spans="1:2" x14ac:dyDescent="0.25">
      <c r="A29" s="19" t="s">
        <v>73</v>
      </c>
      <c r="B29" s="12">
        <f>B28/B26-1</f>
        <v>-1.5293016845463012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0.030266</v>
      </c>
      <c r="B5" s="31">
        <v>15.629912235976168</v>
      </c>
      <c r="C5" s="31">
        <v>15.903952649042813</v>
      </c>
      <c r="D5" s="31">
        <v>16.177993062109433</v>
      </c>
      <c r="E5" s="31">
        <v>602.3252990700222</v>
      </c>
      <c r="F5" s="31" t="s">
        <v>76</v>
      </c>
    </row>
    <row r="6" spans="1:6" x14ac:dyDescent="0.25">
      <c r="A6" s="30">
        <v>0.040266</v>
      </c>
      <c r="B6" s="31">
        <v>-0.1275042010714088</v>
      </c>
      <c r="C6" s="31">
        <v>0.06971694947840534</v>
      </c>
      <c r="D6" s="31">
        <v>0.2669381000282195</v>
      </c>
      <c r="E6" s="31">
        <v>0.464159250578016</v>
      </c>
      <c r="F6" s="31">
        <v>0.6613804011278125</v>
      </c>
    </row>
    <row r="7" spans="1:6" x14ac:dyDescent="0.25">
      <c r="A7" s="30">
        <v>0.050266</v>
      </c>
      <c r="B7" s="31">
        <v>-9.600173680912059</v>
      </c>
      <c r="C7" s="31">
        <v>-9.448845228497083</v>
      </c>
      <c r="D7" s="32">
        <v>-9.297516776082116</v>
      </c>
      <c r="E7" s="31">
        <v>-9.14618832366714</v>
      </c>
      <c r="F7" s="31">
        <v>-8.99485987125217</v>
      </c>
    </row>
    <row r="8" spans="1:6" x14ac:dyDescent="0.25">
      <c r="A8" s="30">
        <v>0.060266</v>
      </c>
      <c r="B8" s="31">
        <v>-15.91732717834929</v>
      </c>
      <c r="C8" s="31">
        <v>-15.796378069725778</v>
      </c>
      <c r="D8" s="31">
        <v>-15.67542896110228</v>
      </c>
      <c r="E8" s="31">
        <v>-15.554479852478778</v>
      </c>
      <c r="F8" s="31">
        <v>-15.433530743855275</v>
      </c>
    </row>
    <row r="9" spans="1:6" x14ac:dyDescent="0.25">
      <c r="A9" s="30">
        <v>0.070266</v>
      </c>
      <c r="B9" s="31">
        <v>-20.426791607138558</v>
      </c>
      <c r="C9" s="31">
        <v>-20.32734641658198</v>
      </c>
      <c r="D9" s="31">
        <v>-20.227901226025406</v>
      </c>
      <c r="E9" s="31">
        <v>-20.12845603546883</v>
      </c>
      <c r="F9" s="31">
        <v>-20.029010844912264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11719000000</v>
      </c>
      <c r="C5" s="18">
        <v>12039000000</v>
      </c>
      <c r="D5" s="18">
        <v>11737000000</v>
      </c>
      <c r="E5" s="18">
        <v>9677000000</v>
      </c>
      <c r="F5" s="8" t="s">
        <v>85</v>
      </c>
    </row>
    <row r="6" spans="1:6" x14ac:dyDescent="0.25">
      <c r="A6" t="s">
        <v>44</v>
      </c>
      <c r="B6" s="18">
        <v>6316000000</v>
      </c>
      <c r="C6" s="18">
        <v>6548000000</v>
      </c>
      <c r="D6" s="18">
        <v>6338000000</v>
      </c>
      <c r="E6" s="18">
        <v>4762000000</v>
      </c>
      <c r="F6" s="8" t="s">
        <v>86</v>
      </c>
    </row>
    <row r="7" spans="1:6" x14ac:dyDescent="0.25">
      <c r="A7" t="s">
        <v>87</v>
      </c>
      <c r="B7" s="18">
        <v>610000000</v>
      </c>
      <c r="C7" s="18">
        <v>562000000</v>
      </c>
      <c r="D7" s="18">
        <v>609000000</v>
      </c>
      <c r="E7" s="18">
        <v>586000000</v>
      </c>
      <c r="F7" s="8" t="s">
        <v>88</v>
      </c>
    </row>
    <row r="8" spans="1:6" x14ac:dyDescent="0.25">
      <c r="A8" t="s">
        <v>89</v>
      </c>
      <c r="B8" s="18">
        <v>656000000</v>
      </c>
      <c r="C8" s="18">
        <v>560000000</v>
      </c>
      <c r="D8" s="18">
        <v>530000000</v>
      </c>
      <c r="E8" s="18">
        <v>405000000</v>
      </c>
      <c r="F8" s="8" t="s">
        <v>90</v>
      </c>
    </row>
    <row r="9" spans="1:6" x14ac:dyDescent="0.25">
      <c r="A9" t="s">
        <v>91</v>
      </c>
      <c r="B9" s="18">
        <v>11049000000</v>
      </c>
      <c r="C9" s="18">
        <v>6563000000</v>
      </c>
      <c r="D9" s="18">
        <v>17238000000</v>
      </c>
      <c r="E9" s="18">
        <v>-25238000000</v>
      </c>
      <c r="F9" s="8" t="s">
        <v>92</v>
      </c>
    </row>
    <row r="10" spans="1:6" x14ac:dyDescent="0.25">
      <c r="A10" t="s">
        <v>93</v>
      </c>
      <c r="B10" s="18">
        <v>206581000000</v>
      </c>
      <c r="C10" s="18">
        <v>197311000000</v>
      </c>
      <c r="D10" s="18">
        <v>191051000000</v>
      </c>
      <c r="E10" s="18">
        <v>190282000000</v>
      </c>
      <c r="F10" s="8" t="s">
        <v>94</v>
      </c>
    </row>
    <row r="11" spans="1:6" x14ac:dyDescent="0.25">
      <c r="A11" t="s">
        <v>95</v>
      </c>
      <c r="B11" s="18">
        <v>45153000000</v>
      </c>
      <c r="C11" s="18">
        <v>50637000000</v>
      </c>
      <c r="D11" s="18">
        <v>52531000000</v>
      </c>
      <c r="E11" s="18">
        <v>62700000000</v>
      </c>
      <c r="F11" s="8" t="s">
        <v>96</v>
      </c>
    </row>
    <row r="12" spans="1:6" x14ac:dyDescent="0.25">
      <c r="A12" t="s">
        <v>32</v>
      </c>
      <c r="B12" s="34">
        <v>3458000000</v>
      </c>
      <c r="C12" s="34">
        <v>3505000000</v>
      </c>
      <c r="D12" s="34">
        <v>3579000000</v>
      </c>
      <c r="E12" s="34">
        <v>3782000000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38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2026-09-19T00:11:05Z</dcterms:modified>
</cp:coreProperties>
</file>