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<sst xmlns="http://schemas.openxmlformats.org/spreadsheetml/2006/main" count="113" uniqueCount="101">
  <si>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Nasdaq, Inc. (NDAQ)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</si>
  <si>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</si>
  <si>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</si>
  <si>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</si>
  <si>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</si>
  <si>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</si>
  <si>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</si>
  <si>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</si>
  <si>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</si>
  <si>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</si>
  <si>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</si>
  <si>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</si>
  <si>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</si>
  <si>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</si>
  <si>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</si>
  <si>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</si>
  <si>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</si>
  <si>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</si>
  <si>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</si>
  <si>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</si>
  <si>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</si>
  <si>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</si>
  <si>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</si>
  <si>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</si>
  <si>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</si>
  <si>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</si>
  <si>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</si>
  <si>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</si>
  <si>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</si>
  <si>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</si>
  <si>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</si>
  <si>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</si>
  <si>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</si>
  <si>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</si>
  <si>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</si>
  <si>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</si>
  <si>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</si>
  <si>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</si>
  <si>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</si>
  <si>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</si>
  <si>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</si>
  <si>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</si>
  <si>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</si>
  <si>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</si>
  <si>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</si>
  <si>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</si>
  <si>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</si>
  <si>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</si>
  <si>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</si>
  <si>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</si>
  <si>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</si>
  <si>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</si>
  <si>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</si>
  <si>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</si>
  <si>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</si>
  <si>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</si>
  <si>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</si>
  <si>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</si>
  <si>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</si>
  <si>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</si>
  <si>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</si>
  <si>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</si>
  <si>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</si>
  <si>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</si>
  <si>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</si>
  <si>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</si>
  <si>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</si>
  <si>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</si>
  <si>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</si>
  <si>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</si>
  <si>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</si>
  <si>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</si>
  <si>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</si>
  <si>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</si>
  <si>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</si>
  <si>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</si>
  <si>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</si>
  <si>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</si>
  <si>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</si>
  <si>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</si>
  <si>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</si>
  <si>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</si>
  <si>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</si>
  <si>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</si>
  <si>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</si>
  <si>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</si>
  <si>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</si>
  <si>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</si>
  <si>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</si>
  <si>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</si>
  <si>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</si>
  <si>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</si>
  <si>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</si>
  <si>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</si>
  <si>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</si>
  <si>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</si>
  <si>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</si>
  <si>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</si>
  <si>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</si>
  <si>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2.77% of revenue against depreciation and amortisation of 6.35%. A business cannot depreciate more than it invests indefinitely. Capex has been set to 6.35%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</si>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</sst>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0.09890131082105791</v>
      </c>
    </row>
    <row r="7" spans="1:2" x14ac:dyDescent="0.25">
      <c r="A7" t="s">
        <v>5</v>
      </c>
      <c r="B7" s="6">
        <v>0.2806167012344072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0.06350923275890485</v>
      </c>
    </row>
    <row r="10" spans="1:2" x14ac:dyDescent="0.25">
      <c r="A10" t="s">
        <v>8</v>
      </c>
      <c r="B10" s="6">
        <v>0.06350923275890485</v>
      </c>
    </row>
    <row r="11" spans="1:2" x14ac:dyDescent="0.25">
      <c r="A11" t="s">
        <v>9</v>
      </c>
      <c r="B11" s="6">
        <v>0.24074074074074073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19.053423337030996</v>
      </c>
    </row>
    <row r="14" spans="1:3" x14ac:dyDescent="0.25">
      <c r="A14" t="s">
        <v>12</v>
      </c>
      <c r="B14" s="6">
        <v>0.09412899738238753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0.98258</v>
      </c>
      <c r="C19" s="8" t="s">
        <v>19</v>
      </c>
    </row>
    <row r="20" spans="1:2" x14ac:dyDescent="0.25">
      <c r="A20" t="s">
        <v>20</v>
      </c>
      <c r="B20" s="10">
        <f>B17+B19*B18</f>
        <v>0.1040219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52286742528</v>
      </c>
    </row>
    <row r="23" spans="1:2" x14ac:dyDescent="0.25">
      <c r="A23" t="s">
        <v>24</v>
      </c>
      <c r="B23" s="11">
        <v>9466000000</v>
      </c>
    </row>
    <row r="24" spans="1:2" x14ac:dyDescent="0.25">
      <c r="A24" t="s">
        <v>25</v>
      </c>
      <c r="B24" s="10">
        <f>B22/(B22+B23)</f>
        <v>0.8467112615167186</v>
      </c>
    </row>
    <row r="25" spans="1:2" x14ac:dyDescent="0.25">
      <c r="A25" t="s">
        <v>26</v>
      </c>
      <c r="B25" s="10">
        <f>1-B24</f>
        <v>0.1532887384832814</v>
      </c>
    </row>
    <row r="26" spans="1:2" x14ac:dyDescent="0.25">
      <c r="A26" t="s">
        <v>27</v>
      </c>
      <c r="B26" s="12">
        <f>B24*B20+B25*B21*(1-B8)</f>
        <v>0.09412899738238753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8262000000</v>
      </c>
      <c r="C29" s="8" t="s">
        <v>30</v>
      </c>
    </row>
    <row r="30" spans="1:2" x14ac:dyDescent="0.25">
      <c r="A30" t="s">
        <v>31</v>
      </c>
      <c r="B30" s="11">
        <v>6112000000</v>
      </c>
    </row>
    <row r="31" spans="1:2" x14ac:dyDescent="0.25">
      <c r="A31" t="s">
        <v>32</v>
      </c>
      <c r="B31" s="13">
        <v>578600000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0.09890131082105791</v>
      </c>
      <c r="C5" s="10">
        <f>Assumptions!B6</f>
        <v>0.09890131082105791</v>
      </c>
      <c r="D5" s="10">
        <f>Assumptions!B6</f>
        <v>0.09890131082105791</v>
      </c>
      <c r="E5" s="10">
        <f>Assumptions!B6</f>
        <v>0.09890131082105791</v>
      </c>
      <c r="F5" s="10">
        <f>Assumptions!B6</f>
        <v>0.09890131082105791</v>
      </c>
    </row>
    <row r="6" spans="1:6" x14ac:dyDescent="0.25">
      <c r="A6" t="s">
        <v>43</v>
      </c>
      <c r="B6" s="18">
        <f>Assumptions!B29*(1+B5)</f>
        <v>9079122630.00358</v>
      </c>
      <c r="C6" s="18">
        <f>B6*(1+C5)</f>
        <v>9977059759.216064</v>
      </c>
      <c r="D6" s="18">
        <f>C6*(1+D5)</f>
        <v>10963804047.542562</v>
      </c>
      <c r="E6" s="18">
        <f>D6*(1+E5)</f>
        <v>12048138639.429743</v>
      </c>
      <c r="F6" s="18">
        <f>E6*(1+F5)</f>
        <v>13239715343.823181</v>
      </c>
    </row>
    <row r="7" spans="1:6" x14ac:dyDescent="0.25">
      <c r="A7" t="s">
        <v>5</v>
      </c>
      <c r="B7" s="10">
        <f>Assumptions!B7</f>
        <v>0.2806167012344072</v>
      </c>
      <c r="C7" s="10">
        <f>Assumptions!B7</f>
        <v>0.2806167012344072</v>
      </c>
      <c r="D7" s="10">
        <f>Assumptions!B7</f>
        <v>0.2806167012344072</v>
      </c>
      <c r="E7" s="10">
        <f>Assumptions!B7</f>
        <v>0.2806167012344072</v>
      </c>
      <c r="F7" s="10">
        <f>Assumptions!B7</f>
        <v>0.2806167012344072</v>
      </c>
    </row>
    <row r="8" spans="1:6" x14ac:dyDescent="0.25">
      <c r="A8" t="s">
        <v>44</v>
      </c>
      <c r="B8" s="18">
        <f>B6*B7</f>
        <v>2547753442.53426</v>
      </c>
      <c r="C8" s="18">
        <f>C6*C7</f>
        <v>2799729597.6497607</v>
      </c>
      <c r="D8" s="18">
        <f>D6*D7</f>
        <v>3076626524.8018355</v>
      </c>
      <c r="E8" s="18">
        <f>E6*E7</f>
        <v>3380908921.0115733</v>
      </c>
      <c r="F8" s="18">
        <f>F6*F7</f>
        <v>3715285245.066226</v>
      </c>
    </row>
    <row r="9" spans="1:6" x14ac:dyDescent="0.25">
      <c r="A9" t="s">
        <v>45</v>
      </c>
      <c r="B9" s="18">
        <f>B8*(1-Assumptions!B8)</f>
        <v>2012725219.6020653</v>
      </c>
      <c r="C9" s="18">
        <f>C8*(1-Assumptions!B8)</f>
        <v>2211786382.143311</v>
      </c>
      <c r="D9" s="18">
        <f>D8*(1-Assumptions!B8)</f>
        <v>2430534954.59345</v>
      </c>
      <c r="E9" s="18">
        <f>E8*(1-Assumptions!B8)</f>
        <v>2670918047.599143</v>
      </c>
      <c r="F9" s="18">
        <f>F8*(1-Assumptions!B8)</f>
        <v>2935075343.602319</v>
      </c>
    </row>
    <row r="10" spans="1:6" x14ac:dyDescent="0.25">
      <c r="A10" t="s">
        <v>46</v>
      </c>
      <c r="B10" s="18">
        <f>B6*Assumptions!B9</f>
        <v>576608112.3555378</v>
      </c>
      <c r="C10" s="18">
        <f>C6*Assumptions!B9</f>
        <v>633635410.4975562</v>
      </c>
      <c r="D10" s="18">
        <f>D6*Assumptions!B9</f>
        <v>696302783.1784037</v>
      </c>
      <c r="E10" s="18">
        <f>E6*Assumptions!B9</f>
        <v>765168041.1630988</v>
      </c>
      <c r="F10" s="18">
        <f>F6*Assumptions!B9</f>
        <v>840844163.4325104</v>
      </c>
    </row>
    <row r="11" spans="1:6" x14ac:dyDescent="0.25">
      <c r="A11" t="s">
        <v>47</v>
      </c>
      <c r="B11" s="18">
        <f>-B6*Assumptions!B10</f>
        <v>-576608112.3555378</v>
      </c>
      <c r="C11" s="18">
        <f>-C6*Assumptions!B10</f>
        <v>-633635410.4975562</v>
      </c>
      <c r="D11" s="18">
        <f>-D6*Assumptions!B10</f>
        <v>-696302783.1784037</v>
      </c>
      <c r="E11" s="18">
        <f>-E6*Assumptions!B10</f>
        <v>-765168041.1630988</v>
      </c>
      <c r="F11" s="18">
        <f>-F6*Assumptions!B10</f>
        <v>-840844163.4325104</v>
      </c>
    </row>
    <row r="12" spans="1:6" x14ac:dyDescent="0.25">
      <c r="A12" t="s">
        <v>48</v>
      </c>
      <c r="B12" s="18">
        <f>-(B6-Assumptions!B29)*Assumptions!B11</f>
        <v>-196714707.2230841</v>
      </c>
      <c r="C12" s="18">
        <f>-(C6-B6)*Assumptions!B11</f>
        <v>-216170049.6252277</v>
      </c>
      <c r="D12" s="18">
        <f>-(D6-C6)*Assumptions!B11</f>
        <v>-237549550.89341617</v>
      </c>
      <c r="E12" s="18">
        <f>-(E6-D6)*Assumptions!B11</f>
        <v>-261043512.86172858</v>
      </c>
      <c r="F12" s="18">
        <f>-(F6-E6)*Assumptions!B11</f>
        <v>-286861058.465087</v>
      </c>
    </row>
    <row r="13" spans="1:6" x14ac:dyDescent="0.25">
      <c r="A13" s="19" t="s">
        <v>49</v>
      </c>
      <c r="B13" s="20">
        <f>B9+B10+B11+B12</f>
        <v>1816010512.378981</v>
      </c>
      <c r="C13" s="20">
        <f>C9+C10+C11+C12</f>
        <v>1995616332.5180833</v>
      </c>
      <c r="D13" s="20">
        <f>D9+D10+D11+D12</f>
        <v>2192985403.700034</v>
      </c>
      <c r="E13" s="20">
        <f>E9+E10+E11+E12</f>
        <v>2409874534.7374144</v>
      </c>
      <c r="F13" s="20">
        <f>F9+F10+F11+F12</f>
        <v>2648214285.137232</v>
      </c>
    </row>
    <row r="14" spans="1:6" x14ac:dyDescent="0.25">
      <c r="A14" t="s">
        <v>50</v>
      </c>
      <c r="B14" s="21">
        <f>1/(1+Assumptions!$B$26)^(1-0.5*Assumptions!$B$32)</f>
        <v>0.9560172661376514</v>
      </c>
      <c r="C14" s="21">
        <f>1/(1+Assumptions!$B$26)^(2-0.5*Assumptions!$B$32)</f>
        <v>0.8737701572893534</v>
      </c>
      <c r="D14" s="21">
        <f>1/(1+Assumptions!$B$26)^(3-0.5*Assumptions!$B$32)</f>
        <v>0.7985988483805618</v>
      </c>
      <c r="E14" s="21">
        <f>1/(1+Assumptions!$B$26)^(4-0.5*Assumptions!$B$32)</f>
        <v>0.729894601359751</v>
      </c>
      <c r="F14" s="21">
        <f>1/(1+Assumptions!$B$26)^(5-0.5*Assumptions!$B$32)</f>
        <v>0.6671010485106993</v>
      </c>
    </row>
    <row r="15" spans="1:6" x14ac:dyDescent="0.25">
      <c r="A15" s="19" t="s">
        <v>51</v>
      </c>
      <c r="B15" s="20">
        <f>B13*B14</f>
        <v>1736137405.321789</v>
      </c>
      <c r="C15" s="20">
        <f>C13*C14</f>
        <v>1743709996.753528</v>
      </c>
      <c r="D15" s="20">
        <f>D13*D14</f>
        <v>1751315617.9102287</v>
      </c>
      <c r="E15" s="20">
        <f>E13*E14</f>
        <v>1758954412.8591805</v>
      </c>
      <c r="F15" s="20">
        <f>F13*F14</f>
        <v>1766626526.2960594</v>
      </c>
    </row>
    <row r="17" spans="1:2" x14ac:dyDescent="0.25">
      <c r="A17" s="22" t="s">
        <v>52</v>
      </c>
      <c r="B17" s="23">
        <f>SUM(B15:F15)</f>
        <v>8756743959.140785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2648214285.137232</v>
      </c>
    </row>
    <row r="5" spans="1:2" x14ac:dyDescent="0.25">
      <c r="A5" t="s">
        <v>56</v>
      </c>
      <c r="B5" s="18">
        <f>IF(Assumptions!$B$33=0,B4,B4-Forecast!F11-Forecast!F10-Forecast!F12)</f>
        <v>2935075343.602319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0.2655929702346723</v>
      </c>
    </row>
    <row r="7" spans="1:2" x14ac:dyDescent="0.25">
      <c r="A7" t="s">
        <v>58</v>
      </c>
      <c r="B7" s="18">
        <f>-MAX(Forecast!F9,0)*B6</f>
        <v>-779535378.3698913</v>
      </c>
    </row>
    <row r="8" spans="1:2" x14ac:dyDescent="0.25">
      <c r="A8" t="s">
        <v>59</v>
      </c>
      <c r="B8" s="18">
        <f>IF(OR(Assumptions!$B$33=0,Assumptions!B12&lt;=0),B5,MAX(B5+B7,0))</f>
        <v>2155539965.2324276</v>
      </c>
    </row>
    <row r="9" spans="1:2" x14ac:dyDescent="0.25">
      <c r="A9" t="s">
        <v>60</v>
      </c>
      <c r="B9" s="18">
        <f>B8*(1+Assumptions!B12)/(Assumptions!B26-Assumptions!B12)</f>
        <v>31960950513.165535</v>
      </c>
    </row>
    <row r="10" spans="1:2" x14ac:dyDescent="0.25">
      <c r="A10" t="s">
        <v>61</v>
      </c>
      <c r="B10" s="18">
        <f>B9/(1+Assumptions!B26)^(5-0.5*Assumptions!B32)</f>
        <v>21321183598.7313</v>
      </c>
    </row>
    <row r="11" spans="1:2" x14ac:dyDescent="0.25">
      <c r="A11" t="s">
        <v>62</v>
      </c>
      <c r="B11" s="18">
        <f>Forecast!B17+B10</f>
        <v>30077927557.872086</v>
      </c>
    </row>
    <row r="12" spans="1:2" x14ac:dyDescent="0.25">
      <c r="A12" t="s">
        <v>63</v>
      </c>
      <c r="B12" s="18">
        <f>-Assumptions!B30</f>
        <v>-6112000000</v>
      </c>
    </row>
    <row r="13" spans="1:2" x14ac:dyDescent="0.25">
      <c r="A13" t="s">
        <v>64</v>
      </c>
      <c r="B13" s="18">
        <f>B11+B12</f>
        <v>23965927557.872086</v>
      </c>
    </row>
    <row r="14" spans="1:2" x14ac:dyDescent="0.25">
      <c r="A14" s="19" t="s">
        <v>65</v>
      </c>
      <c r="B14" s="24">
        <f>B13/Assumptions!B31</f>
        <v>41.42054538173537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4556129408.498736</v>
      </c>
    </row>
    <row r="18" spans="1:2" x14ac:dyDescent="0.25">
      <c r="A18" t="s">
        <v>60</v>
      </c>
      <c r="B18" s="18">
        <f>B17*Assumptions!B13</f>
        <v>86809862398.42305</v>
      </c>
    </row>
    <row r="19" spans="1:2" x14ac:dyDescent="0.25">
      <c r="A19" t="s">
        <v>61</v>
      </c>
      <c r="B19" s="18">
        <f>B18/(1+Assumptions!B26)^(5-0.5*Assumptions!B32)</f>
        <v>57910950227.05755</v>
      </c>
    </row>
    <row r="20" spans="1:2" x14ac:dyDescent="0.25">
      <c r="A20" t="s">
        <v>62</v>
      </c>
      <c r="B20" s="18">
        <f>Forecast!B17+B19</f>
        <v>66667694186.19833</v>
      </c>
    </row>
    <row r="21" spans="1:2" x14ac:dyDescent="0.25">
      <c r="A21" t="s">
        <v>63</v>
      </c>
      <c r="B21" s="18">
        <f>-Assumptions!B30</f>
        <v>-6112000000</v>
      </c>
    </row>
    <row r="22" spans="1:2" x14ac:dyDescent="0.25">
      <c r="A22" t="s">
        <v>64</v>
      </c>
      <c r="B22" s="18">
        <f>B20+B21</f>
        <v>60555694186.19833</v>
      </c>
    </row>
    <row r="23" spans="1:2" x14ac:dyDescent="0.25">
      <c r="A23" s="19" t="s">
        <v>65</v>
      </c>
      <c r="B23" s="25">
        <f>B22/Assumptions!B31</f>
        <v>104.65899444555536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93.54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41.42054538173537</v>
      </c>
    </row>
    <row r="29" spans="1:2" x14ac:dyDescent="0.25">
      <c r="A29" s="19" t="s">
        <v>73</v>
      </c>
      <c r="B29" s="12">
        <f>B28/B26-1</f>
        <v>-0.5571889525151232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0.074129</v>
      </c>
      <c r="B5" s="31">
        <v>56.93637115426886</v>
      </c>
      <c r="C5" s="31">
        <v>57.78583523166067</v>
      </c>
      <c r="D5" s="31">
        <v>58.76284985676383</v>
      </c>
      <c r="E5" s="31">
        <v>59.910771058848674</v>
      </c>
      <c r="F5" s="31">
        <v>61.295115428033114</v>
      </c>
    </row>
    <row r="6" spans="1:6" x14ac:dyDescent="0.25">
      <c r="A6" s="30">
        <v>0.084129</v>
      </c>
      <c r="B6" s="31">
        <v>47.47462655876911</v>
      </c>
      <c r="C6" s="31">
        <v>47.68423114185854</v>
      </c>
      <c r="D6" s="31">
        <v>47.893835724947955</v>
      </c>
      <c r="E6" s="31">
        <v>48.103440308037385</v>
      </c>
      <c r="F6" s="31">
        <v>48.3130448911268</v>
      </c>
    </row>
    <row r="7" spans="1:6" x14ac:dyDescent="0.25">
      <c r="A7" s="30">
        <v>0.094129</v>
      </c>
      <c r="B7" s="31">
        <v>41.061035505664215</v>
      </c>
      <c r="C7" s="31">
        <v>41.24078968755217</v>
      </c>
      <c r="D7" s="32">
        <v>41.420543869440095</v>
      </c>
      <c r="E7" s="31">
        <v>41.60029805132804</v>
      </c>
      <c r="F7" s="31">
        <v>41.78005223321597</v>
      </c>
    </row>
    <row r="8" spans="1:6" x14ac:dyDescent="0.25">
      <c r="A8" s="30">
        <v>0.104129</v>
      </c>
      <c r="B8" s="31">
        <v>35.89319484108025</v>
      </c>
      <c r="C8" s="31">
        <v>36.04916803155948</v>
      </c>
      <c r="D8" s="31">
        <v>36.20514122203872</v>
      </c>
      <c r="E8" s="31">
        <v>36.36111441251795</v>
      </c>
      <c r="F8" s="31">
        <v>36.51708760299718</v>
      </c>
    </row>
    <row r="9" spans="1:6" x14ac:dyDescent="0.25">
      <c r="A9" s="30">
        <v>0.114129</v>
      </c>
      <c r="B9" s="31">
        <v>31.642981719211956</v>
      </c>
      <c r="C9" s="31">
        <v>31.779630311699673</v>
      </c>
      <c r="D9" s="31">
        <v>31.916278904187386</v>
      </c>
      <c r="E9" s="31">
        <v>32.052927496675096</v>
      </c>
      <c r="F9" s="31">
        <v>32.18957608916281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8262000000</v>
      </c>
      <c r="C5" s="18">
        <v>7400000000</v>
      </c>
      <c r="D5" s="18">
        <v>6064000000</v>
      </c>
      <c r="E5" s="18">
        <v>6226000000</v>
      </c>
      <c r="F5" s="8" t="s">
        <v>84</v>
      </c>
    </row>
    <row r="6" spans="1:6" x14ac:dyDescent="0.25">
      <c r="A6" t="s">
        <v>44</v>
      </c>
      <c r="B6" s="18">
        <v>2433000000</v>
      </c>
      <c r="C6" s="18">
        <v>1949000000</v>
      </c>
      <c r="D6" s="18">
        <v>1806000000</v>
      </c>
      <c r="E6" s="18">
        <v>1661000000</v>
      </c>
      <c r="F6" s="8" t="s">
        <v>85</v>
      </c>
    </row>
    <row r="7" spans="1:6" x14ac:dyDescent="0.25">
      <c r="A7" t="s">
        <v>86</v>
      </c>
      <c r="B7" s="18">
        <v>632000000</v>
      </c>
      <c r="C7" s="18">
        <v>613000000</v>
      </c>
      <c r="D7" s="18">
        <v>323000000</v>
      </c>
      <c r="E7" s="18">
        <v>258000000</v>
      </c>
      <c r="F7" s="8" t="s">
        <v>87</v>
      </c>
    </row>
    <row r="8" spans="1:6" x14ac:dyDescent="0.25">
      <c r="A8" t="s">
        <v>88</v>
      </c>
      <c r="B8" s="18">
        <v>266000000</v>
      </c>
      <c r="C8" s="18">
        <v>207000000</v>
      </c>
      <c r="D8" s="18">
        <v>158000000</v>
      </c>
      <c r="E8" s="18">
        <v>152000000</v>
      </c>
      <c r="F8" s="8" t="s">
        <v>89</v>
      </c>
    </row>
    <row r="9" spans="1:6" x14ac:dyDescent="0.25">
      <c r="A9" t="s">
        <v>90</v>
      </c>
      <c r="B9" s="18">
        <v>235000000</v>
      </c>
      <c r="C9" s="18">
        <v>-46000000</v>
      </c>
      <c r="D9" s="18">
        <v>-39000000</v>
      </c>
      <c r="E9" s="18">
        <v>-168000000</v>
      </c>
      <c r="F9" s="8" t="s">
        <v>91</v>
      </c>
    </row>
    <row r="10" spans="1:6" x14ac:dyDescent="0.25">
      <c r="A10" t="s">
        <v>92</v>
      </c>
      <c r="B10" s="18">
        <v>9466000000</v>
      </c>
      <c r="C10" s="18">
        <v>9868000000</v>
      </c>
      <c r="D10" s="18">
        <v>10871000000</v>
      </c>
      <c r="E10" s="18">
        <v>5851000000</v>
      </c>
      <c r="F10" s="8" t="s">
        <v>93</v>
      </c>
    </row>
    <row r="11" spans="1:6" x14ac:dyDescent="0.25">
      <c r="A11" t="s">
        <v>94</v>
      </c>
      <c r="B11" s="18">
        <v>3354000000</v>
      </c>
      <c r="C11" s="18">
        <v>2057000000</v>
      </c>
      <c r="D11" s="18">
        <v>641000000</v>
      </c>
      <c r="E11" s="18">
        <v>683000000</v>
      </c>
      <c r="F11" s="8" t="s">
        <v>95</v>
      </c>
    </row>
    <row r="12" spans="1:6" x14ac:dyDescent="0.25">
      <c r="A12" t="s">
        <v>32</v>
      </c>
      <c r="B12" s="34">
        <v>578600000</v>
      </c>
      <c r="C12" s="34">
        <v>579200000</v>
      </c>
      <c r="D12" s="34">
        <v>508400000</v>
      </c>
      <c r="E12" s="34">
        <v>497900000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70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2026-09-19T00:06:35Z</dcterms:modified>
</cp:coreProperties>
</file>