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<sst xmlns="http://schemas.openxmlformats.org/spreadsheetml/2006/main" count="112" uniqueCount="100">
  <si>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Nordson Corporation (NDSN)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</si>
  <si>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</si>
  <si>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</si>
  <si>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</si>
  <si>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</si>
  <si>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</si>
  <si>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</si>
  <si>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</si>
  <si>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</si>
  <si>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</si>
  <si>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</si>
  <si>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</si>
  <si>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</si>
  <si>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</si>
  <si>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</si>
  <si>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</si>
  <si>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</si>
  <si>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</si>
  <si>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</si>
  <si>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</si>
  <si>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</si>
  <si>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</si>
  <si>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</si>
  <si>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</si>
  <si>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</si>
  <si>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</si>
  <si>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</si>
  <si>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</si>
  <si>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</si>
  <si>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</si>
  <si>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2025-10-31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</si>
  <si>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</si>
  <si>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</si>
  <si>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</si>
  <si>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</si>
  <si>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</si>
  <si>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</si>
  <si>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</si>
  <si>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</si>
  <si>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</si>
  <si>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</si>
  <si>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</si>
  <si>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</si>
  <si>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</si>
  <si>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</si>
  <si>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</si>
  <si>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</si>
  <si>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</si>
  <si>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</si>
  <si>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</si>
  <si>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</si>
  <si>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</si>
  <si>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</si>
  <si>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</si>
  <si>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</si>
  <si>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</si>
  <si>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</si>
  <si>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</si>
  <si>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</si>
  <si>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</si>
  <si>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</si>
  <si>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</si>
  <si>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</si>
  <si>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</si>
  <si>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</si>
  <si>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</si>
  <si>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</si>
  <si>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</si>
  <si>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</si>
  <si>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</si>
  <si>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</si>
  <si>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</si>
  <si>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</si>
  <si>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</si>
  <si>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</si>
  <si>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</si>
  <si>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</si>
  <si>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</si>
  <si>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</si>
  <si>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2025-10-31</t>
  </si>
  <si>
    <t>2024-10-31</t>
  </si>
  <si>
    <t>2023-10-31</t>
  </si>
  <si>
    <t>2022-10-31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</si>
  <si>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</si>
  <si>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</si>
  <si>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</si>
  <si>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</si>
  <si>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</si>
  <si>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</si>
  <si>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</si>
  <si>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</si>
  <si>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</si>
  <si>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</si>
  <si>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</si>
  <si>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</si>
  <si>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</si>
  <si>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</si>
  <si>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</si>
  <si>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Current EV/EBITDA of 22.1x sits outside a defensible 3-20x band, so the exit multiple is capped at 20.0x. A multiple that far out usually means EBITDA is the wrong denominator for this business.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</si>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</sst>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0.02527440495521427</v>
      </c>
    </row>
    <row r="7" spans="1:2" x14ac:dyDescent="0.25">
      <c r="A7" t="s">
        <v>5</v>
      </c>
      <c r="B7" s="6">
        <v>0.2592729028663522</v>
      </c>
    </row>
    <row r="8" spans="1:2" x14ac:dyDescent="0.25">
      <c r="A8" t="s">
        <v>6</v>
      </c>
      <c r="B8" s="6">
        <v>0.20482265704064728</v>
      </c>
    </row>
    <row r="9" spans="1:2" x14ac:dyDescent="0.25">
      <c r="A9" t="s">
        <v>7</v>
      </c>
      <c r="B9" s="6">
        <v>0.04642188395039428</v>
      </c>
    </row>
    <row r="10" spans="1:2" x14ac:dyDescent="0.25">
      <c r="A10" t="s">
        <v>8</v>
      </c>
      <c r="B10" s="6">
        <v>0.01943822852461623</v>
      </c>
    </row>
    <row r="11" spans="1:2" x14ac:dyDescent="0.25">
      <c r="A11" t="s">
        <v>9</v>
      </c>
      <c r="B11" s="6">
        <v>-0.5584085057877877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0.11883847908723813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0.98124</v>
      </c>
      <c r="C19" s="8" t="s">
        <v>19</v>
      </c>
    </row>
    <row r="20" spans="1:2" x14ac:dyDescent="0.25">
      <c r="A20" t="s">
        <v>20</v>
      </c>
      <c r="B20" s="10">
        <f>B17+B19*B18</f>
        <v>0.1039482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17354252288</v>
      </c>
    </row>
    <row r="23" spans="1:2" x14ac:dyDescent="0.25">
      <c r="A23" t="s">
        <v>24</v>
      </c>
      <c r="B23" s="11">
        <v>2092358000</v>
      </c>
    </row>
    <row r="24" spans="1:2" x14ac:dyDescent="0.25">
      <c r="A24" t="s">
        <v>25</v>
      </c>
      <c r="B24" s="10">
        <f>B22/(B22+B23)</f>
        <v>0.8924050017451556</v>
      </c>
    </row>
    <row r="25" spans="1:2" x14ac:dyDescent="0.25">
      <c r="A25" t="s">
        <v>26</v>
      </c>
      <c r="B25" s="10">
        <f>1-B24</f>
        <v>0.10759499825484442</v>
      </c>
    </row>
    <row r="26" spans="1:2" x14ac:dyDescent="0.25">
      <c r="A26" t="s">
        <v>27</v>
      </c>
      <c r="B26" s="12">
        <f>B24*B20+B25*B21*(1-B8)</f>
        <v>0.09704003770170941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2791687000</v>
      </c>
      <c r="C29" s="8" t="s">
        <v>30</v>
      </c>
    </row>
    <row r="30" spans="1:2" x14ac:dyDescent="0.25">
      <c r="A30" t="s">
        <v>31</v>
      </c>
      <c r="B30" s="11">
        <v>1983916000</v>
      </c>
    </row>
    <row r="31" spans="1:2" x14ac:dyDescent="0.25">
      <c r="A31" t="s">
        <v>32</v>
      </c>
      <c r="B31" s="13">
        <v>56916000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0.02527440495521427</v>
      </c>
      <c r="C5" s="10">
        <f>Assumptions!B6</f>
        <v>0.02527440495521427</v>
      </c>
      <c r="D5" s="10">
        <f>Assumptions!B6</f>
        <v>0.02527440495521427</v>
      </c>
      <c r="E5" s="10">
        <f>Assumptions!B6</f>
        <v>0.02527440495521427</v>
      </c>
      <c r="F5" s="10">
        <f>Assumptions!B6</f>
        <v>0.02527440495521427</v>
      </c>
    </row>
    <row r="6" spans="1:6" x14ac:dyDescent="0.25">
      <c r="A6" t="s">
        <v>43</v>
      </c>
      <c r="B6" s="18">
        <f>Assumptions!B29*(1+B5)</f>
        <v>2862245227.746207</v>
      </c>
      <c r="C6" s="18">
        <f>B6*(1+C5)</f>
        <v>2934586772.713394</v>
      </c>
      <c r="D6" s="18">
        <f>C6*(1+D5)</f>
        <v>3008756707.183168</v>
      </c>
      <c r="E6" s="18">
        <f>D6*(1+E5)</f>
        <v>3084801242.612232</v>
      </c>
      <c r="F6" s="18">
        <f>E6*(1+F5)</f>
        <v>3162767758.424362</v>
      </c>
    </row>
    <row r="7" spans="1:6" x14ac:dyDescent="0.25">
      <c r="A7" t="s">
        <v>5</v>
      </c>
      <c r="B7" s="10">
        <f>Assumptions!B7</f>
        <v>0.2592729028663522</v>
      </c>
      <c r="C7" s="10">
        <f>Assumptions!B7</f>
        <v>0.2592729028663522</v>
      </c>
      <c r="D7" s="10">
        <f>Assumptions!B7</f>
        <v>0.2592729028663522</v>
      </c>
      <c r="E7" s="10">
        <f>Assumptions!B7</f>
        <v>0.2592729028663522</v>
      </c>
      <c r="F7" s="10">
        <f>Assumptions!B7</f>
        <v>0.2592729028663522</v>
      </c>
    </row>
    <row r="8" spans="1:6" x14ac:dyDescent="0.25">
      <c r="A8" t="s">
        <v>44</v>
      </c>
      <c r="B8" s="18">
        <f>B6*B7</f>
        <v>742102628.9131224</v>
      </c>
      <c r="C8" s="18">
        <f>C6*C7</f>
        <v>760858831.2746018</v>
      </c>
      <c r="D8" s="18">
        <f>D6*D7</f>
        <v>780089085.4899871</v>
      </c>
      <c r="E8" s="18">
        <f>E6*E7</f>
        <v>799805372.9378037</v>
      </c>
      <c r="F8" s="18">
        <f>F6*F7</f>
        <v>820019977.8187901</v>
      </c>
    </row>
    <row r="9" spans="1:6" x14ac:dyDescent="0.25">
      <c r="A9" t="s">
        <v>45</v>
      </c>
      <c r="B9" s="18">
        <f>B8*(1-Assumptions!B8)</f>
        <v>590103196.6622872</v>
      </c>
      <c r="C9" s="18">
        <f>C8*(1-Assumptions!B8)</f>
        <v>605017703.8200964</v>
      </c>
      <c r="D9" s="18">
        <f>D8*(1-Assumptions!B8)</f>
        <v>620309166.2715193</v>
      </c>
      <c r="E9" s="18">
        <f>E8*(1-Assumptions!B8)</f>
        <v>635987111.337297</v>
      </c>
      <c r="F9" s="18">
        <f>F8*(1-Assumptions!B8)</f>
        <v>652061307.1355329</v>
      </c>
    </row>
    <row r="10" spans="1:6" x14ac:dyDescent="0.25">
      <c r="A10" t="s">
        <v>46</v>
      </c>
      <c r="B10" s="18">
        <f>B6*Assumptions!B9</f>
        <v>132870815.80000429</v>
      </c>
      <c r="C10" s="18">
        <f>C6*Assumptions!B9</f>
        <v>136229046.60526326</v>
      </c>
      <c r="D10" s="18">
        <f>D6*Assumptions!B9</f>
        <v>139672154.69582745</v>
      </c>
      <c r="E10" s="18">
        <f>E6*Assumptions!B9</f>
        <v>143202285.29457712</v>
      </c>
      <c r="F10" s="18">
        <f>F6*Assumptions!B9</f>
        <v>146821637.84362438</v>
      </c>
    </row>
    <row r="11" spans="1:6" x14ac:dyDescent="0.25">
      <c r="A11" t="s">
        <v>47</v>
      </c>
      <c r="B11" s="18">
        <f>-B6*Assumptions!B10</f>
        <v>-55636976.830423005</v>
      </c>
      <c r="C11" s="18">
        <f>-C6*Assumptions!B10</f>
        <v>-57043168.31331898</v>
      </c>
      <c r="D11" s="18">
        <f>-D6*Assumptions!B10</f>
        <v>-58484900.44919826</v>
      </c>
      <c r="E11" s="18">
        <f>-E6*Assumptions!B10</f>
        <v>-59963071.50691669</v>
      </c>
      <c r="F11" s="18">
        <f>-F6*Assumptions!B10</f>
        <v>-61478602.458540976</v>
      </c>
    </row>
    <row r="12" spans="1:6" x14ac:dyDescent="0.25">
      <c r="A12" t="s">
        <v>48</v>
      </c>
      <c r="B12" s="18">
        <f>-(B6-Assumptions!B29)*Assumptions!B11</f>
        <v>39400314.526794</v>
      </c>
      <c r="C12" s="18">
        <f>-(C6-B6)*Assumptions!B11</f>
        <v>40396134.0315069</v>
      </c>
      <c r="D12" s="18">
        <f>-(D6-C6)*Assumptions!B11</f>
        <v>41417122.2816445</v>
      </c>
      <c r="E12" s="18">
        <f>-(E6-D6)*Assumptions!B11</f>
        <v>42463915.402270265</v>
      </c>
      <c r="F12" s="18">
        <f>-(F6-E6)*Assumptions!B11</f>
        <v>43537165.59613142</v>
      </c>
    </row>
    <row r="13" spans="1:6" x14ac:dyDescent="0.25">
      <c r="A13" s="19" t="s">
        <v>49</v>
      </c>
      <c r="B13" s="20">
        <f>B9+B10+B11+B12</f>
        <v>706737350.1586624</v>
      </c>
      <c r="C13" s="20">
        <f>C9+C10+C11+C12</f>
        <v>724599716.1435475</v>
      </c>
      <c r="D13" s="20">
        <f>D9+D10+D11+D12</f>
        <v>742913542.799793</v>
      </c>
      <c r="E13" s="20">
        <f>E9+E10+E11+E12</f>
        <v>761690240.5272278</v>
      </c>
      <c r="F13" s="20">
        <f>F9+F10+F11+F12</f>
        <v>780941508.1167477</v>
      </c>
    </row>
    <row r="14" spans="1:6" x14ac:dyDescent="0.25">
      <c r="A14" t="s">
        <v>50</v>
      </c>
      <c r="B14" s="21">
        <f>1/(1+Assumptions!$B$26)^(1-0.5*Assumptions!$B$32)</f>
        <v>0.9547480082392913</v>
      </c>
      <c r="C14" s="21">
        <f>1/(1+Assumptions!$B$26)^(2-0.5*Assumptions!$B$32)</f>
        <v>0.8702945885543807</v>
      </c>
      <c r="D14" s="21">
        <f>1/(1+Assumptions!$B$26)^(3-0.5*Assumptions!$B$32)</f>
        <v>0.7933116008943861</v>
      </c>
      <c r="E14" s="21">
        <f>1/(1+Assumptions!$B$26)^(4-0.5*Assumptions!$B$32)</f>
        <v>0.7231382389255071</v>
      </c>
      <c r="F14" s="21">
        <f>1/(1+Assumptions!$B$26)^(5-0.5*Assumptions!$B$32)</f>
        <v>0.659172148758104</v>
      </c>
    </row>
    <row r="15" spans="1:6" x14ac:dyDescent="0.25">
      <c r="A15" s="19" t="s">
        <v>51</v>
      </c>
      <c r="B15" s="20">
        <f>B13*B14</f>
        <v>674756077.4122975</v>
      </c>
      <c r="C15" s="20">
        <f>C13*C14</f>
        <v>630615211.8277698</v>
      </c>
      <c r="D15" s="20">
        <f>D13*D14</f>
        <v>589361931.9646238</v>
      </c>
      <c r="E15" s="20">
        <f>E13*E14</f>
        <v>550807339.1416054</v>
      </c>
      <c r="F15" s="20">
        <f>F13*F14</f>
        <v>514774891.95971096</v>
      </c>
    </row>
    <row r="17" spans="1:2" x14ac:dyDescent="0.25">
      <c r="A17" s="22" t="s">
        <v>52</v>
      </c>
      <c r="B17" s="23">
        <f>SUM(B15:F15)</f>
        <v>2960315452.3060074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780941508.1167477</v>
      </c>
    </row>
    <row r="5" spans="1:2" x14ac:dyDescent="0.25">
      <c r="A5" t="s">
        <v>56</v>
      </c>
      <c r="B5" s="18">
        <f>IF(Assumptions!$B$33=0,B4,B4-Forecast!F11-Forecast!F10-Forecast!F12)</f>
        <v>714525363.4757898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0.21036957214546437</v>
      </c>
    </row>
    <row r="7" spans="1:2" x14ac:dyDescent="0.25">
      <c r="A7" t="s">
        <v>58</v>
      </c>
      <c r="B7" s="18">
        <f>-MAX(Forecast!F9,0)*B6</f>
        <v>-150314395.0014843</v>
      </c>
    </row>
    <row r="8" spans="1:2" x14ac:dyDescent="0.25">
      <c r="A8" t="s">
        <v>59</v>
      </c>
      <c r="B8" s="18">
        <f>IF(OR(Assumptions!$B$33=0,Assumptions!B12&lt;=0),B5,MAX(B5+B7,0))</f>
        <v>564210968.4743055</v>
      </c>
    </row>
    <row r="9" spans="1:2" x14ac:dyDescent="0.25">
      <c r="A9" t="s">
        <v>60</v>
      </c>
      <c r="B9" s="18">
        <f>B8*(1+Assumptions!B12)/(Assumptions!B26-Assumptions!B12)</f>
        <v>8027705997.05614</v>
      </c>
    </row>
    <row r="10" spans="1:2" x14ac:dyDescent="0.25">
      <c r="A10" t="s">
        <v>61</v>
      </c>
      <c r="B10" s="18">
        <f>B9/(1+Assumptions!B26)^(5-0.5*Assumptions!B32)</f>
        <v>5291640211.677814</v>
      </c>
    </row>
    <row r="11" spans="1:2" x14ac:dyDescent="0.25">
      <c r="A11" t="s">
        <v>62</v>
      </c>
      <c r="B11" s="18">
        <f>Forecast!B17+B10</f>
        <v>8251955663.983821</v>
      </c>
    </row>
    <row r="12" spans="1:2" x14ac:dyDescent="0.25">
      <c r="A12" t="s">
        <v>63</v>
      </c>
      <c r="B12" s="18">
        <f>-Assumptions!B30</f>
        <v>-1983916000</v>
      </c>
    </row>
    <row r="13" spans="1:2" x14ac:dyDescent="0.25">
      <c r="A13" t="s">
        <v>64</v>
      </c>
      <c r="B13" s="18">
        <f>B11+B12</f>
        <v>6268039663.983821</v>
      </c>
    </row>
    <row r="14" spans="1:2" x14ac:dyDescent="0.25">
      <c r="A14" s="19" t="s">
        <v>65</v>
      </c>
      <c r="B14" s="24">
        <f>B13/Assumptions!B31</f>
        <v>110.12790189022104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966841615.6624144</v>
      </c>
    </row>
    <row r="18" spans="1:2" x14ac:dyDescent="0.25">
      <c r="A18" t="s">
        <v>60</v>
      </c>
      <c r="B18" s="18">
        <f>B17*Assumptions!B13</f>
        <v>19336832313.248287</v>
      </c>
    </row>
    <row r="19" spans="1:2" x14ac:dyDescent="0.25">
      <c r="A19" t="s">
        <v>61</v>
      </c>
      <c r="B19" s="18">
        <f>B18/(1+Assumptions!B26)^(5-0.5*Assumptions!B32)</f>
        <v>12746301306.099012</v>
      </c>
    </row>
    <row r="20" spans="1:2" x14ac:dyDescent="0.25">
      <c r="A20" t="s">
        <v>62</v>
      </c>
      <c r="B20" s="18">
        <f>Forecast!B17+B19</f>
        <v>15706616758.40502</v>
      </c>
    </row>
    <row r="21" spans="1:2" x14ac:dyDescent="0.25">
      <c r="A21" t="s">
        <v>63</v>
      </c>
      <c r="B21" s="18">
        <f>-Assumptions!B30</f>
        <v>-1983916000</v>
      </c>
    </row>
    <row r="22" spans="1:2" x14ac:dyDescent="0.25">
      <c r="A22" t="s">
        <v>64</v>
      </c>
      <c r="B22" s="18">
        <f>B20+B21</f>
        <v>13722700758.40502</v>
      </c>
    </row>
    <row r="23" spans="1:2" x14ac:dyDescent="0.25">
      <c r="A23" s="19" t="s">
        <v>65</v>
      </c>
      <c r="B23" s="25">
        <f>B22/Assumptions!B31</f>
        <v>241.1044479303714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311.57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110.12790189022104</v>
      </c>
    </row>
    <row r="29" spans="1:2" x14ac:dyDescent="0.25">
      <c r="A29" s="19" t="s">
        <v>73</v>
      </c>
      <c r="B29" s="12">
        <f>B28/B26-1</f>
        <v>-0.6465388134601501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0.07704</v>
      </c>
      <c r="B5" s="31">
        <v>147.99615252141143</v>
      </c>
      <c r="C5" s="31">
        <v>153.18602908878634</v>
      </c>
      <c r="D5" s="31">
        <v>159.30051157455594</v>
      </c>
      <c r="E5" s="31">
        <v>166.6344360496369</v>
      </c>
      <c r="F5" s="31">
        <v>175.62290312867415</v>
      </c>
    </row>
    <row r="6" spans="1:6" x14ac:dyDescent="0.25">
      <c r="A6" s="30">
        <v>0.08704</v>
      </c>
      <c r="B6" s="31">
        <v>124.46092331758565</v>
      </c>
      <c r="C6" s="31">
        <v>127.42052545269677</v>
      </c>
      <c r="D6" s="31">
        <v>130.79869335801234</v>
      </c>
      <c r="E6" s="31">
        <v>134.70549867716974</v>
      </c>
      <c r="F6" s="31">
        <v>139.29331576081498</v>
      </c>
    </row>
    <row r="7" spans="1:6" x14ac:dyDescent="0.25">
      <c r="A7" s="30">
        <v>0.09704</v>
      </c>
      <c r="B7" s="31">
        <v>106.61405508295796</v>
      </c>
      <c r="C7" s="31">
        <v>108.27958013344217</v>
      </c>
      <c r="D7" s="32">
        <v>110.12796915260549</v>
      </c>
      <c r="E7" s="31">
        <v>112.20013740790301</v>
      </c>
      <c r="F7" s="31">
        <v>114.55019013050843</v>
      </c>
    </row>
    <row r="8" spans="1:6" x14ac:dyDescent="0.25">
      <c r="A8" s="30">
        <v>0.10704</v>
      </c>
      <c r="B8" s="31">
        <v>92.60389511835565</v>
      </c>
      <c r="C8" s="31">
        <v>93.48308541616584</v>
      </c>
      <c r="D8" s="31">
        <v>94.42870039610507</v>
      </c>
      <c r="E8" s="31">
        <v>95.45367321279362</v>
      </c>
      <c r="F8" s="31">
        <v>96.57452756905262</v>
      </c>
    </row>
    <row r="9" spans="1:6" x14ac:dyDescent="0.25">
      <c r="A9" s="30">
        <v>0.11704</v>
      </c>
      <c r="B9" s="31">
        <v>81.30449896853028</v>
      </c>
      <c r="C9" s="31">
        <v>81.69060940510015</v>
      </c>
      <c r="D9" s="31">
        <v>82.08379544055832</v>
      </c>
      <c r="E9" s="31">
        <v>82.4852764451177</v>
      </c>
      <c r="F9" s="31">
        <v>82.89656905135405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2791687000</v>
      </c>
      <c r="C5" s="18">
        <v>2689921000</v>
      </c>
      <c r="D5" s="18">
        <v>2628632000</v>
      </c>
      <c r="E5" s="18">
        <v>2590278000</v>
      </c>
      <c r="F5" s="8" t="s">
        <v>84</v>
      </c>
    </row>
    <row r="6" spans="1:6" x14ac:dyDescent="0.25">
      <c r="A6" t="s">
        <v>44</v>
      </c>
      <c r="B6" s="18">
        <v>724270000</v>
      </c>
      <c r="C6" s="18">
        <v>674001000</v>
      </c>
      <c r="D6" s="18">
        <v>672761000</v>
      </c>
      <c r="E6" s="18">
        <v>702360000</v>
      </c>
      <c r="F6" s="8" t="s">
        <v>85</v>
      </c>
    </row>
    <row r="7" spans="1:6" x14ac:dyDescent="0.25">
      <c r="A7" t="s">
        <v>86</v>
      </c>
      <c r="B7" s="18">
        <v>150523000</v>
      </c>
      <c r="C7" s="18">
        <v>136175000</v>
      </c>
      <c r="D7" s="18">
        <v>111898000</v>
      </c>
      <c r="E7" s="18">
        <v>99923000</v>
      </c>
      <c r="F7" s="8" t="s">
        <v>87</v>
      </c>
    </row>
    <row r="8" spans="1:6" x14ac:dyDescent="0.25">
      <c r="A8" t="s">
        <v>88</v>
      </c>
      <c r="B8" s="18">
        <v>58060000</v>
      </c>
      <c r="C8" s="18">
        <v>64410000</v>
      </c>
      <c r="D8" s="18">
        <v>34583000</v>
      </c>
      <c r="E8" s="18">
        <v>51428000</v>
      </c>
      <c r="F8" s="8" t="s">
        <v>89</v>
      </c>
    </row>
    <row r="9" spans="1:6" x14ac:dyDescent="0.25">
      <c r="A9" t="s">
        <v>90</v>
      </c>
      <c r="B9" s="18">
        <v>-56827000</v>
      </c>
      <c r="C9" s="18">
        <v>53149000</v>
      </c>
      <c r="D9" s="18">
        <v>-25786000</v>
      </c>
      <c r="E9" s="18">
        <v>163069000</v>
      </c>
      <c r="F9" s="8" t="s">
        <v>91</v>
      </c>
    </row>
    <row r="10" spans="1:6" x14ac:dyDescent="0.25">
      <c r="A10" t="s">
        <v>92</v>
      </c>
      <c r="B10" s="18">
        <v>2092358000</v>
      </c>
      <c r="C10" s="18">
        <v>2320351000</v>
      </c>
      <c r="D10" s="18">
        <v>1862909000</v>
      </c>
      <c r="E10" s="18">
        <v>860454000</v>
      </c>
      <c r="F10" s="8" t="s">
        <v>93</v>
      </c>
    </row>
    <row r="11" spans="1:6" x14ac:dyDescent="0.25">
      <c r="A11" t="s">
        <v>94</v>
      </c>
      <c r="B11" s="18">
        <v>108442000</v>
      </c>
      <c r="C11" s="18">
        <v>115952000</v>
      </c>
      <c r="D11" s="18">
        <v>115679000</v>
      </c>
      <c r="E11" s="18">
        <v>163457000</v>
      </c>
      <c r="F11" s="8" t="s">
        <v>95</v>
      </c>
    </row>
    <row r="12" spans="1:6" x14ac:dyDescent="0.25">
      <c r="A12" t="s">
        <v>32</v>
      </c>
      <c r="B12" s="34">
        <v>56916000</v>
      </c>
      <c r="C12" s="34">
        <v>57616000</v>
      </c>
      <c r="D12" s="34">
        <v>57631000</v>
      </c>
      <c r="E12" s="34">
        <v>58249000</v>
      </c>
      <c r="F12" s="8" t="s">
        <v>96</v>
      </c>
    </row>
    <row r="15" spans="1:1" x14ac:dyDescent="0.25">
      <c r="A15" s="19" t="s">
        <v>97</v>
      </c>
    </row>
    <row r="16" ht="38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2026-09-19T00:07:49Z</dcterms:modified>
</cp:coreProperties>
</file>