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<sst xmlns="http://schemas.openxmlformats.org/spreadsheetml/2006/main" count="120" uniqueCount="107">
  <si>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Nordson Corporation (NDSN)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</si>
  <si>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</si>
  <si>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</si>
  <si>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</si>
  <si>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</si>
  <si>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</si>
  <si>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</si>
  <si>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</si>
  <si>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</si>
  <si>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</si>
  <si>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</si>
  <si>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</si>
  <si>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</si>
  <si>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</si>
  <si>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</si>
  <si>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</si>
  <si>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</si>
  <si>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</si>
  <si>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</si>
  <si>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</si>
  <si>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</si>
  <si>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</si>
  <si>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</si>
  <si>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</si>
  <si>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7.0x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</si>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</sst>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0.09514492849664014</v>
      </c>
    </row>
    <row r="7" spans="1:2" x14ac:dyDescent="0.25">
      <c r="A7" t="s">
        <v>4</v>
      </c>
      <c r="B7" s="5">
        <v>0.2592729028663522</v>
      </c>
    </row>
    <row r="8" spans="1:2" x14ac:dyDescent="0.25">
      <c r="A8" t="s">
        <v>5</v>
      </c>
      <c r="B8" s="5">
        <v>0.20482265704064728</v>
      </c>
    </row>
    <row r="9" spans="1:2" x14ac:dyDescent="0.25">
      <c r="A9" t="s">
        <v>6</v>
      </c>
      <c r="B9" s="5">
        <v>0.04642188395039428</v>
      </c>
    </row>
    <row r="10" spans="1:3" x14ac:dyDescent="0.25">
      <c r="A10" t="s">
        <v>7</v>
      </c>
      <c r="B10" s="5">
        <v>0.01943822852461623</v>
      </c>
      <c r="C10" s="6" t="s">
        <v>8</v>
      </c>
    </row>
    <row r="11" spans="1:2" x14ac:dyDescent="0.25">
      <c r="A11" t="s">
        <v>9</v>
      </c>
      <c r="B11" s="5">
        <v>0.32768642715167795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0.11883847908723813</v>
      </c>
      <c r="C14" s="6" t="s">
        <v>13</v>
      </c>
    </row>
    <row r="15" spans="1:3" x14ac:dyDescent="0.25">
      <c r="A15" t="s">
        <v>14</v>
      </c>
      <c r="B15" s="5">
        <v>0.021584898478444522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0.99464</v>
      </c>
      <c r="C19" s="6" t="s">
        <v>21</v>
      </c>
    </row>
    <row r="20" spans="1:2" x14ac:dyDescent="0.25">
      <c r="A20" t="s">
        <v>22</v>
      </c>
      <c r="B20" s="9">
        <f>B17+B19*B18</f>
        <v>0.091013272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17972514816</v>
      </c>
    </row>
    <row r="23" spans="1:2" x14ac:dyDescent="0.25">
      <c r="A23" t="s">
        <v>26</v>
      </c>
      <c r="B23" s="10">
        <v>2092358000</v>
      </c>
    </row>
    <row r="24" spans="1:2" x14ac:dyDescent="0.25">
      <c r="A24" t="s">
        <v>27</v>
      </c>
      <c r="B24" s="9">
        <f>B22/(B22+B23)</f>
        <v>0.8957203457411639</v>
      </c>
    </row>
    <row r="25" spans="1:2" x14ac:dyDescent="0.25">
      <c r="A25" t="s">
        <v>28</v>
      </c>
      <c r="B25" s="9">
        <f>1-B24</f>
        <v>0.10427965425883612</v>
      </c>
    </row>
    <row r="26" spans="1:2" x14ac:dyDescent="0.25">
      <c r="A26" t="s">
        <v>29</v>
      </c>
      <c r="B26" s="11">
        <f>B24*B20+B25*B21*(1-B8)</f>
        <v>0.08603664881647595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2791687000</v>
      </c>
      <c r="C29" s="6" t="s">
        <v>32</v>
      </c>
    </row>
    <row r="30" spans="1:2" x14ac:dyDescent="0.25">
      <c r="A30" t="s">
        <v>33</v>
      </c>
      <c r="B30" s="10">
        <v>1983916000</v>
      </c>
    </row>
    <row r="31" spans="1:2" x14ac:dyDescent="0.25">
      <c r="A31" t="s">
        <v>34</v>
      </c>
      <c r="B31" s="12">
        <v>56916000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0.09514492849664014</v>
      </c>
      <c r="C5" s="5">
        <v>0.05114691880637534</v>
      </c>
      <c r="D5" s="5">
        <v>0.047878553955578426</v>
      </c>
      <c r="E5" s="5">
        <v>0.044610189104781504</v>
      </c>
      <c r="F5" s="5">
        <v>0.04134182425398459</v>
      </c>
      <c r="G5" s="5">
        <v>0.03807345940318767</v>
      </c>
      <c r="H5" s="5">
        <v>0.03480509455239075</v>
      </c>
      <c r="I5" s="5">
        <v>0.03153672970159384</v>
      </c>
      <c r="J5" s="5">
        <v>0.02826836485079692</v>
      </c>
      <c r="K5" s="5">
        <v>0.025</v>
      </c>
    </row>
    <row r="6" spans="1:11" x14ac:dyDescent="0.25">
      <c r="A6" t="s">
        <v>50</v>
      </c>
      <c r="B6" s="18">
        <f>Assumptions!B29*(1+B5)</f>
        <v>3057301860</v>
      </c>
      <c r="C6" s="18">
        <f>B6*(1+C5)</f>
        <v>3213673430.0000005</v>
      </c>
      <c r="D6" s="18">
        <f>C6*(1+D5)</f>
        <v>3367539466.7138643</v>
      </c>
      <c r="E6" s="18">
        <f>D6*(1+E5)</f>
        <v>3517766039.1417847</v>
      </c>
      <c r="F6" s="18">
        <f>E6*(1+F5)</f>
        <v>3663196904.49862</v>
      </c>
      <c r="G6" s="18">
        <f>F6*(1+G5)</f>
        <v>3802667483.127931</v>
      </c>
      <c r="H6" s="18">
        <f>G6*(1+H5)</f>
        <v>3935019684.4295006</v>
      </c>
      <c r="I6" s="18">
        <f>H6*(1+I5)</f>
        <v>4059117336.587805</v>
      </c>
      <c r="J6" s="18">
        <f>I6*(1+J5)</f>
        <v>4173861946.4306636</v>
      </c>
      <c r="K6" s="18">
        <f>J6*(1+K5)</f>
        <v>4278208495.0914297</v>
      </c>
    </row>
    <row r="7" spans="1:11" x14ac:dyDescent="0.25">
      <c r="A7" t="s">
        <v>4</v>
      </c>
      <c r="B7" s="9">
        <f>Assumptions!B7</f>
        <v>0.2592729028663522</v>
      </c>
      <c r="C7" s="9">
        <f>Assumptions!B7</f>
        <v>0.2592729028663522</v>
      </c>
      <c r="D7" s="9">
        <f>Assumptions!B7</f>
        <v>0.2592729028663522</v>
      </c>
      <c r="E7" s="9">
        <f>Assumptions!B7</f>
        <v>0.2592729028663522</v>
      </c>
      <c r="F7" s="9">
        <f>Assumptions!B7</f>
        <v>0.2592729028663522</v>
      </c>
      <c r="G7" s="9">
        <f>Assumptions!B7</f>
        <v>0.2592729028663522</v>
      </c>
      <c r="H7" s="9">
        <f>Assumptions!B7</f>
        <v>0.2592729028663522</v>
      </c>
      <c r="I7" s="9">
        <f>Assumptions!B7</f>
        <v>0.2592729028663522</v>
      </c>
      <c r="J7" s="9">
        <f>Assumptions!B7</f>
        <v>0.2592729028663522</v>
      </c>
      <c r="K7" s="9">
        <f>Assumptions!B7</f>
        <v>0.2592729028663522</v>
      </c>
    </row>
    <row r="8" spans="1:11" x14ac:dyDescent="0.25">
      <c r="A8" t="s">
        <v>51</v>
      </c>
      <c r="B8" s="18">
        <f>B6*B7</f>
        <v>792675528.1808978</v>
      </c>
      <c r="C8" s="18">
        <f>C6*C7</f>
        <v>833218439.060567</v>
      </c>
      <c r="D8" s="18">
        <f>D6*D7</f>
        <v>873111733.0519112</v>
      </c>
      <c r="E8" s="18">
        <f>E6*E7</f>
        <v>912061412.5729604</v>
      </c>
      <c r="F8" s="18">
        <f>F6*F7</f>
        <v>949767695.2003927</v>
      </c>
      <c r="G8" s="18">
        <f>G6*G7</f>
        <v>985928636.9860641</v>
      </c>
      <c r="H8" s="18">
        <f>H6*H7</f>
        <v>1020243976.4182737</v>
      </c>
      <c r="I8" s="18">
        <f>I6*I7</f>
        <v>1052419134.9322561</v>
      </c>
      <c r="J8" s="18">
        <f>J6*J7</f>
        <v>1082169303.014481</v>
      </c>
      <c r="K8" s="18">
        <f>K6*K7</f>
        <v>1109223535.589843</v>
      </c>
    </row>
    <row r="9" spans="1:11" x14ac:dyDescent="0.25">
      <c r="A9" t="s">
        <v>52</v>
      </c>
      <c r="B9" s="18">
        <f>B8*(1-Assumptions!B8)</f>
        <v>630317620.3277879</v>
      </c>
      <c r="C9" s="18">
        <f>C8*(1-Assumptions!B8)</f>
        <v>662556424.4769211</v>
      </c>
      <c r="D9" s="18">
        <f>D8*(1-Assumptions!B8)</f>
        <v>694278667.9948545</v>
      </c>
      <c r="E9" s="18">
        <f>E8*(1-Assumptions!B8)</f>
        <v>725250570.6655205</v>
      </c>
      <c r="F9" s="18">
        <f>F8*(1-Assumptions!B8)</f>
        <v>755233752.2980766</v>
      </c>
      <c r="G9" s="18">
        <f>G8*(1-Assumptions!B8)</f>
        <v>783988113.9061147</v>
      </c>
      <c r="H9" s="18">
        <f>H8*(1-Assumptions!B8)</f>
        <v>811274894.3385674</v>
      </c>
      <c r="I9" s="18">
        <f>I8*(1-Assumptions!B8)</f>
        <v>836859851.3950119</v>
      </c>
      <c r="J9" s="18">
        <f>J8*(1-Assumptions!B8)</f>
        <v>860516511.0032297</v>
      </c>
      <c r="K9" s="18">
        <f>K8*(1-Assumptions!B8)</f>
        <v>882029423.7783104</v>
      </c>
    </row>
    <row r="10" spans="1:11" x14ac:dyDescent="0.25">
      <c r="A10" t="s">
        <v>53</v>
      </c>
      <c r="B10" s="18">
        <f>B6*Assumptions!B9</f>
        <v>141925712.1462446</v>
      </c>
      <c r="C10" s="18">
        <f>C6*Assumptions!B9</f>
        <v>149184775.02192557</v>
      </c>
      <c r="D10" s="18">
        <f>D6*Assumptions!B9</f>
        <v>156327526.32216364</v>
      </c>
      <c r="E10" s="18">
        <f>E6*Assumptions!B9</f>
        <v>163301326.83367807</v>
      </c>
      <c r="F10" s="18">
        <f>F6*Assumptions!B9</f>
        <v>170052501.5880785</v>
      </c>
      <c r="G10" s="18">
        <f>G6*Assumptions!B9</f>
        <v>176526988.60370272</v>
      </c>
      <c r="H10" s="18">
        <f>H6*Assumptions!B9</f>
        <v>182671027.1331034</v>
      </c>
      <c r="I10" s="18">
        <f>I6*Assumptions!B9</f>
        <v>188431873.9401126</v>
      </c>
      <c r="J10" s="18">
        <f>J6*Assumptions!B9</f>
        <v>193758534.90217105</v>
      </c>
      <c r="K10" s="18">
        <f>K6*Assumptions!B9</f>
        <v>198602498.27472532</v>
      </c>
    </row>
    <row r="11" spans="1:11" x14ac:dyDescent="0.25">
      <c r="A11" t="s">
        <v>54</v>
      </c>
      <c r="B11" s="18">
        <f>-B6*B19</f>
        <v>-59428532.22341426</v>
      </c>
      <c r="C11" s="18">
        <f>-C6*C19</f>
        <v>-80205056.90480518</v>
      </c>
      <c r="D11" s="18">
        <f>-D6*D19</f>
        <v>-102631316.37901591</v>
      </c>
      <c r="E11" s="18">
        <f>-E6*E19</f>
        <v>-126625008.13364863</v>
      </c>
      <c r="F11" s="18">
        <f>-F6*F19</f>
        <v>-152077869.76798877</v>
      </c>
      <c r="G11" s="18">
        <f>-G6*G19</f>
        <v>-178855720.57586247</v>
      </c>
      <c r="H11" s="18">
        <f>-H6*H19</f>
        <v>-206799010.63512883</v>
      </c>
      <c r="I11" s="18">
        <f>-I6*I19</f>
        <v>-235723895.9259627</v>
      </c>
      <c r="J11" s="18">
        <f>-J6*J19</f>
        <v>-265423845.40221053</v>
      </c>
      <c r="K11" s="18">
        <f>-K6*K19</f>
        <v>-295671772.42898124</v>
      </c>
    </row>
    <row r="12" spans="1:11" x14ac:dyDescent="0.25">
      <c r="A12" t="s">
        <v>55</v>
      </c>
      <c r="B12" s="18">
        <f>-(B6-Assumptions!B29)*Assumptions!B11</f>
        <v>-87038384.47179314</v>
      </c>
      <c r="C12" s="18">
        <f>-(C6-B6)*Assumptions!B11</f>
        <v>-51240841.081398666</v>
      </c>
      <c r="D12" s="18">
        <f>-(D6-C6)*Assumptions!B11</f>
        <v>-50419811.83075495</v>
      </c>
      <c r="E12" s="18">
        <f>-(E6-D6)*Assumptions!B11</f>
        <v>-49227208.78214799</v>
      </c>
      <c r="F12" s="18">
        <f>-(F6-E6)*Assumptions!B11</f>
        <v>-47655720.66635811</v>
      </c>
      <c r="G12" s="18">
        <f>-(G6-F6)*Assumptions!B11</f>
        <v>-45702615.60381612</v>
      </c>
      <c r="H12" s="18">
        <f>-(H6-G6)*Assumptions!B11</f>
        <v>-43370019.97017096</v>
      </c>
      <c r="I12" s="18">
        <f>-(I6-H6)*Assumptions!B11</f>
        <v>-40665116.25366642</v>
      </c>
      <c r="J12" s="18">
        <f>-(J6-I6)*Assumptions!B11</f>
        <v>-37600251.23431966</v>
      </c>
      <c r="K12" s="18">
        <f>-(K6-J6)*Assumptions!B11</f>
        <v>-34192947.71625516</v>
      </c>
    </row>
    <row r="13" spans="1:11" x14ac:dyDescent="0.25">
      <c r="A13" s="19" t="s">
        <v>56</v>
      </c>
      <c r="B13" s="20">
        <f>B9+B10+B11+B12</f>
        <v>625776415.7788249</v>
      </c>
      <c r="C13" s="20">
        <f>C9+C10+C11+C12</f>
        <v>680295301.5126429</v>
      </c>
      <c r="D13" s="20">
        <f>D9+D10+D11+D12</f>
        <v>697555066.1072471</v>
      </c>
      <c r="E13" s="20">
        <f>E9+E10+E11+E12</f>
        <v>712699680.583402</v>
      </c>
      <c r="F13" s="20">
        <f>F9+F10+F11+F12</f>
        <v>725552663.4518082</v>
      </c>
      <c r="G13" s="20">
        <f>G9+G10+G11+G12</f>
        <v>735956766.3301388</v>
      </c>
      <c r="H13" s="20">
        <f>H9+H10+H11+H12</f>
        <v>743776890.8663709</v>
      </c>
      <c r="I13" s="20">
        <f>I9+I10+I11+I12</f>
        <v>748902713.1554954</v>
      </c>
      <c r="J13" s="20">
        <f>J9+J10+J11+J12</f>
        <v>751250949.2688706</v>
      </c>
      <c r="K13" s="20">
        <f>K9+K10+K11+K12</f>
        <v>750767201.9077992</v>
      </c>
    </row>
    <row r="14" spans="1:11" x14ac:dyDescent="0.25">
      <c r="A14" t="s">
        <v>57</v>
      </c>
      <c r="B14" s="21">
        <f>1/(1+Assumptions!$B$26)^(1-0.5*Assumptions!$B$32)</f>
        <v>0.9595724255621791</v>
      </c>
      <c r="C14" s="21">
        <f>1/(1+Assumptions!$B$26)^(2-0.5*Assumptions!$B$32)</f>
        <v>0.8835543686374552</v>
      </c>
      <c r="D14" s="21">
        <f>1/(1+Assumptions!$B$26)^(3-0.5*Assumptions!$B$32)</f>
        <v>0.8135585199636877</v>
      </c>
      <c r="E14" s="21">
        <f>1/(1+Assumptions!$B$26)^(4-0.5*Assumptions!$B$32)</f>
        <v>0.7491077956257505</v>
      </c>
      <c r="F14" s="21">
        <f>1/(1+Assumptions!$B$26)^(5-0.5*Assumptions!$B$32)</f>
        <v>0.6897629066589065</v>
      </c>
      <c r="G14" s="21">
        <f>1/(1+Assumptions!$B$26)^(6-0.5*Assumptions!$B$32)</f>
        <v>0.6351193649041086</v>
      </c>
      <c r="H14" s="21">
        <f>1/(1+Assumptions!$B$26)^(7-0.5*Assumptions!$B$32)</f>
        <v>0.584804726061721</v>
      </c>
      <c r="I14" s="21">
        <f>1/(1+Assumptions!$B$26)^(8-0.5*Assumptions!$B$32)</f>
        <v>0.5384760511526202</v>
      </c>
      <c r="J14" s="21">
        <f>1/(1+Assumptions!$B$26)^(9-0.5*Assumptions!$B$32)</f>
        <v>0.4958175690842775</v>
      </c>
      <c r="K14" s="21">
        <f>1/(1+Assumptions!$B$26)^(10-0.5*Assumptions!$B$32)</f>
        <v>0.45653852439013154</v>
      </c>
    </row>
    <row r="15" spans="1:11" x14ac:dyDescent="0.25">
      <c r="A15" s="19" t="s">
        <v>58</v>
      </c>
      <c r="B15" s="20">
        <f>B13*B14</f>
        <v>600477793.1484938</v>
      </c>
      <c r="C15" s="20">
        <f>C13*C14</f>
        <v>601077885.6150304</v>
      </c>
      <c r="D15" s="20">
        <f>D13*D14</f>
        <v>567501867.1753843</v>
      </c>
      <c r="E15" s="20">
        <f>E13*E14</f>
        <v>533888886.6650088</v>
      </c>
      <c r="F15" s="20">
        <f>F13*F14</f>
        <v>500459314.0766306</v>
      </c>
      <c r="G15" s="20">
        <f>G13*G14</f>
        <v>467420394.0284792</v>
      </c>
      <c r="H15" s="20">
        <f>H13*H14</f>
        <v>434964240.91414654</v>
      </c>
      <c r="I15" s="20">
        <f>I13*I14</f>
        <v>403266175.6774546</v>
      </c>
      <c r="J15" s="20">
        <f>J13*J14</f>
        <v>372483419.4387473</v>
      </c>
      <c r="K15" s="20">
        <f>K13*K14</f>
        <v>342754150.5194946</v>
      </c>
    </row>
    <row r="17" spans="1:2" x14ac:dyDescent="0.25">
      <c r="A17" s="22" t="s">
        <v>59</v>
      </c>
      <c r="B17" s="23">
        <f>SUM(B15:K15)</f>
        <v>4824294127.25887</v>
      </c>
    </row>
    <row r="19" spans="1:11" x14ac:dyDescent="0.25">
      <c r="A19" t="s">
        <v>7</v>
      </c>
      <c r="B19" s="9">
        <f>Assumptions!$B$10+($B$20-Assumptions!$B$10)*0/9</f>
        <v>0.01943822852461623</v>
      </c>
      <c r="C19" s="9">
        <f>Assumptions!$B$10+($B$20-Assumptions!$B$10)*1/9</f>
        <v>0.024957438474016064</v>
      </c>
      <c r="D19" s="9">
        <f>Assumptions!$B$10+($B$20-Assumptions!$B$10)*2/9</f>
        <v>0.030476648423415898</v>
      </c>
      <c r="E19" s="9">
        <f>Assumptions!$B$10+($B$20-Assumptions!$B$10)*3/9</f>
        <v>0.03599585837281573</v>
      </c>
      <c r="F19" s="9">
        <f>Assumptions!$B$10+($B$20-Assumptions!$B$10)*4/9</f>
        <v>0.04151506832221556</v>
      </c>
      <c r="G19" s="9">
        <f>Assumptions!$B$10+($B$20-Assumptions!$B$10)*5/9</f>
        <v>0.047034278271615396</v>
      </c>
      <c r="H19" s="9">
        <f>Assumptions!$B$10+($B$20-Assumptions!$B$10)*6/9</f>
        <v>0.05255348822101523</v>
      </c>
      <c r="I19" s="9">
        <f>Assumptions!$B$10+($B$20-Assumptions!$B$10)*7/9</f>
        <v>0.05807269817041506</v>
      </c>
      <c r="J19" s="9">
        <f>Assumptions!$B$10+($B$20-Assumptions!$B$10)*8/9</f>
        <v>0.0635919081198149</v>
      </c>
      <c r="K19" s="9">
        <f>Assumptions!$B$10+($B$20-Assumptions!$B$10)*9/9</f>
        <v>0.06911111806921473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0.06911111806921473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750767201.9077992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966523220.6310672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0.21036957214546437</v>
      </c>
    </row>
    <row r="7" spans="1:2" x14ac:dyDescent="0.25">
      <c r="A7" t="s">
        <v>66</v>
      </c>
      <c r="B7" s="18">
        <f>-MAX(B5,0)*B6</f>
        <v>-203327076.39281386</v>
      </c>
    </row>
    <row r="8" spans="1:2" x14ac:dyDescent="0.25">
      <c r="A8" t="s">
        <v>67</v>
      </c>
      <c r="B8" s="18">
        <f>IF(OR(Assumptions!$B$33=0,Assumptions!B12&lt;=0),B5,MAX(B5+B7,0))</f>
        <v>763196144.2382534</v>
      </c>
    </row>
    <row r="9" spans="1:2" x14ac:dyDescent="0.25">
      <c r="A9" t="s">
        <v>68</v>
      </c>
      <c r="B9" s="18">
        <f>B8*(1+Assumptions!B12)/(Assumptions!B26-Assumptions!B12)</f>
        <v>12816497350.572853</v>
      </c>
    </row>
    <row r="10" spans="1:2" x14ac:dyDescent="0.25">
      <c r="A10" t="s">
        <v>69</v>
      </c>
      <c r="B10" s="18">
        <f>B9/(1+Assumptions!B26)^(10-0.5*Assumptions!B32)</f>
        <v>5851224788.2805605</v>
      </c>
    </row>
    <row r="11" spans="1:2" x14ac:dyDescent="0.25">
      <c r="A11" t="s">
        <v>70</v>
      </c>
      <c r="B11" s="18">
        <f>Forecast!B17+B10</f>
        <v>10675518915.53943</v>
      </c>
    </row>
    <row r="12" spans="1:2" x14ac:dyDescent="0.25">
      <c r="A12" t="s">
        <v>71</v>
      </c>
      <c r="B12" s="18">
        <f>-Assumptions!B30</f>
        <v>-1983916000</v>
      </c>
    </row>
    <row r="13" spans="1:2" x14ac:dyDescent="0.25">
      <c r="A13" t="s">
        <v>72</v>
      </c>
      <c r="B13" s="18">
        <f>B11+B12</f>
        <v>8691602915.53943</v>
      </c>
    </row>
    <row r="14" spans="1:2" x14ac:dyDescent="0.25">
      <c r="A14" s="19" t="s">
        <v>73</v>
      </c>
      <c r="B14" s="24">
        <f>B13/Assumptions!B31</f>
        <v>152.70930697061337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1307826033.8645682</v>
      </c>
    </row>
    <row r="18" spans="1:2" x14ac:dyDescent="0.25">
      <c r="A18" t="s">
        <v>68</v>
      </c>
      <c r="B18" s="18">
        <f>B17*Assumptions!B13</f>
        <v>26156520677.291367</v>
      </c>
    </row>
    <row r="19" spans="1:2" x14ac:dyDescent="0.25">
      <c r="A19" t="s">
        <v>69</v>
      </c>
      <c r="B19" s="18">
        <f>B18/(1+Assumptions!B26)^(10-0.5*Assumptions!B32)</f>
        <v>11941459353.190565</v>
      </c>
    </row>
    <row r="20" spans="1:2" x14ac:dyDescent="0.25">
      <c r="A20" t="s">
        <v>70</v>
      </c>
      <c r="B20" s="18">
        <f>Forecast!B17+B19</f>
        <v>16765753480.449436</v>
      </c>
    </row>
    <row r="21" spans="1:2" x14ac:dyDescent="0.25">
      <c r="A21" t="s">
        <v>71</v>
      </c>
      <c r="B21" s="18">
        <f>-Assumptions!B30</f>
        <v>-1983916000</v>
      </c>
    </row>
    <row r="22" spans="1:2" x14ac:dyDescent="0.25">
      <c r="A22" t="s">
        <v>72</v>
      </c>
      <c r="B22" s="18">
        <f>B20+B21</f>
        <v>14781837480.449436</v>
      </c>
    </row>
    <row r="23" spans="1:2" x14ac:dyDescent="0.25">
      <c r="A23" s="19" t="s">
        <v>73</v>
      </c>
      <c r="B23" s="25">
        <f>B22/Assumptions!B31</f>
        <v>259.71321738086715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322.67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152.70930697061337</v>
      </c>
    </row>
    <row r="29" spans="1:2" x14ac:dyDescent="0.25">
      <c r="A29" s="19" t="s">
        <v>81</v>
      </c>
      <c r="B29" s="11">
        <f>B28/B26-1</f>
        <v>-0.5267322435596326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0.066037</v>
      </c>
      <c r="B5" s="31">
        <v>222.38943316896544</v>
      </c>
      <c r="C5" s="31">
        <v>229.96833021816235</v>
      </c>
      <c r="D5" s="31">
        <v>239.8192088415665</v>
      </c>
      <c r="E5" s="31">
        <v>252.8877560723135</v>
      </c>
      <c r="F5" s="31">
        <v>270.72905226965656</v>
      </c>
    </row>
    <row r="6" spans="1:6" x14ac:dyDescent="0.25">
      <c r="A6" s="30">
        <v>0.076037</v>
      </c>
      <c r="B6" s="31">
        <v>180.5236455411249</v>
      </c>
      <c r="C6" s="31">
        <v>183.67029885292146</v>
      </c>
      <c r="D6" s="31">
        <v>187.7566001371704</v>
      </c>
      <c r="E6" s="31">
        <v>193.0887100817268</v>
      </c>
      <c r="F6" s="31">
        <v>200.12200139669648</v>
      </c>
    </row>
    <row r="7" spans="1:6" x14ac:dyDescent="0.25">
      <c r="A7" s="30">
        <v>0.086037</v>
      </c>
      <c r="B7" s="31">
        <v>150.46839798072477</v>
      </c>
      <c r="C7" s="31">
        <v>151.38542450711867</v>
      </c>
      <c r="D7" s="32">
        <v>152.70827702568684</v>
      </c>
      <c r="E7" s="31">
        <v>154.5455871527296</v>
      </c>
      <c r="F7" s="31">
        <v>157.0485562544541</v>
      </c>
    </row>
    <row r="8" spans="1:6" x14ac:dyDescent="0.25">
      <c r="A8" s="30">
        <v>0.096037</v>
      </c>
      <c r="B8" s="31">
        <v>127.8496621951032</v>
      </c>
      <c r="C8" s="31">
        <v>127.58523965627059</v>
      </c>
      <c r="D8" s="31">
        <v>127.49152225416276</v>
      </c>
      <c r="E8" s="31">
        <v>127.60728487332722</v>
      </c>
      <c r="F8" s="31">
        <v>127.98400776867642</v>
      </c>
    </row>
    <row r="9" spans="1:6" x14ac:dyDescent="0.25">
      <c r="A9" s="30">
        <v>0.106037</v>
      </c>
      <c r="B9" s="31">
        <v>110.21542513024164</v>
      </c>
      <c r="C9" s="31">
        <v>109.31153686253185</v>
      </c>
      <c r="D9" s="31">
        <v>108.46883041149916</v>
      </c>
      <c r="E9" s="31">
        <v>107.69937525976593</v>
      </c>
      <c r="F9" s="31">
        <v>107.01863897338212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2791687000</v>
      </c>
      <c r="C5" s="18">
        <v>2689921000</v>
      </c>
      <c r="D5" s="18">
        <v>2628632000</v>
      </c>
      <c r="E5" s="18">
        <v>2590278000</v>
      </c>
      <c r="F5" s="6" t="s">
        <v>91</v>
      </c>
    </row>
    <row r="6" spans="1:6" x14ac:dyDescent="0.25">
      <c r="A6" t="s">
        <v>51</v>
      </c>
      <c r="B6" s="18">
        <v>724270000</v>
      </c>
      <c r="C6" s="18">
        <v>674001000</v>
      </c>
      <c r="D6" s="18">
        <v>672761000</v>
      </c>
      <c r="E6" s="18">
        <v>702360000</v>
      </c>
      <c r="F6" s="6" t="s">
        <v>92</v>
      </c>
    </row>
    <row r="7" spans="1:6" x14ac:dyDescent="0.25">
      <c r="A7" t="s">
        <v>93</v>
      </c>
      <c r="B7" s="18">
        <v>150523000</v>
      </c>
      <c r="C7" s="18">
        <v>136175000</v>
      </c>
      <c r="D7" s="18">
        <v>111898000</v>
      </c>
      <c r="E7" s="18">
        <v>99923000</v>
      </c>
      <c r="F7" s="6" t="s">
        <v>94</v>
      </c>
    </row>
    <row r="8" spans="1:6" x14ac:dyDescent="0.25">
      <c r="A8" t="s">
        <v>95</v>
      </c>
      <c r="B8" s="18">
        <v>58060000</v>
      </c>
      <c r="C8" s="18">
        <v>64410000</v>
      </c>
      <c r="D8" s="18">
        <v>34583000</v>
      </c>
      <c r="E8" s="18">
        <v>51428000</v>
      </c>
      <c r="F8" s="6" t="s">
        <v>96</v>
      </c>
    </row>
    <row r="9" spans="1:6" x14ac:dyDescent="0.25">
      <c r="A9" t="s">
        <v>97</v>
      </c>
      <c r="B9" s="18">
        <v>-56827000</v>
      </c>
      <c r="C9" s="18">
        <v>53149000</v>
      </c>
      <c r="D9" s="18">
        <v>-25786000</v>
      </c>
      <c r="E9" s="18">
        <v>163069000</v>
      </c>
      <c r="F9" s="6" t="s">
        <v>98</v>
      </c>
    </row>
    <row r="10" spans="1:6" x14ac:dyDescent="0.25">
      <c r="A10" t="s">
        <v>99</v>
      </c>
      <c r="B10" s="18">
        <v>2092358000</v>
      </c>
      <c r="C10" s="18">
        <v>2320351000</v>
      </c>
      <c r="D10" s="18">
        <v>1862909000</v>
      </c>
      <c r="E10" s="18">
        <v>860454000</v>
      </c>
      <c r="F10" s="6" t="s">
        <v>100</v>
      </c>
    </row>
    <row r="11" spans="1:6" x14ac:dyDescent="0.25">
      <c r="A11" t="s">
        <v>101</v>
      </c>
      <c r="B11" s="18">
        <v>108442000</v>
      </c>
      <c r="C11" s="18">
        <v>115952000</v>
      </c>
      <c r="D11" s="18">
        <v>115679000</v>
      </c>
      <c r="E11" s="18">
        <v>163457000</v>
      </c>
      <c r="F11" s="6" t="s">
        <v>102</v>
      </c>
    </row>
    <row r="12" spans="1:6" x14ac:dyDescent="0.25">
      <c r="A12" t="s">
        <v>34</v>
      </c>
      <c r="B12" s="34">
        <v>56916000</v>
      </c>
      <c r="C12" s="34">
        <v>57616000</v>
      </c>
      <c r="D12" s="34">
        <v>57631000</v>
      </c>
      <c r="E12" s="34">
        <v>58249000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