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<sst xmlns="http://schemas.openxmlformats.org/spreadsheetml/2006/main" count="112" uniqueCount="100">
  <si>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NextEra Energy, Inc. (NEE)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</si>
  <si>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</si>
  <si>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</si>
  <si>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</si>
  <si>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</si>
  <si>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</si>
  <si>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</si>
  <si>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</si>
  <si>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</si>
  <si>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</si>
  <si>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</si>
  <si>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</si>
  <si>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</si>
  <si>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</si>
  <si>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</si>
  <si>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</si>
  <si>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</si>
  <si>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</si>
  <si>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</si>
  <si>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</si>
  <si>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</si>
  <si>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</si>
  <si>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</si>
  <si>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</si>
  <si>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</si>
  <si>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</si>
  <si>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</si>
  <si>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</si>
  <si>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</si>
  <si>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</si>
  <si>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</si>
  <si>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</si>
  <si>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</si>
  <si>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</si>
  <si>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</si>
  <si>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</si>
  <si>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</si>
  <si>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</si>
  <si>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</si>
  <si>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</si>
  <si>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</si>
  <si>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</si>
  <si>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</si>
  <si>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</si>
  <si>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</si>
  <si>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</si>
  <si>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</si>
  <si>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</si>
  <si>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</si>
  <si>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</si>
  <si>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</si>
  <si>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</si>
  <si>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</si>
  <si>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</si>
  <si>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</si>
  <si>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</si>
  <si>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</si>
  <si>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</si>
  <si>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</si>
  <si>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</si>
  <si>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</si>
  <si>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</si>
  <si>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</si>
  <si>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</si>
  <si>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</si>
  <si>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</si>
  <si>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</si>
  <si>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</si>
  <si>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</si>
  <si>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</si>
  <si>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</si>
  <si>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</si>
  <si>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</si>
  <si>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</si>
  <si>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</si>
  <si>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</si>
  <si>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</si>
  <si>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</si>
  <si>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</si>
  <si>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</si>
  <si>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</si>
  <si>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</si>
  <si>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</si>
  <si>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</si>
  <si>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</si>
  <si>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</si>
  <si>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</si>
  <si>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</si>
  <si>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</si>
  <si>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</si>
  <si>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</si>
  <si>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</si>
  <si>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</si>
  <si>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</si>
  <si>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</si>
  <si>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</si>
  <si>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</si>
  <si>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</si>
  <si>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37.2% of revenue against depreciation of 23.3%.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</si>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</sst>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0.09364770128221722</v>
      </c>
    </row>
    <row r="7" spans="1:2" x14ac:dyDescent="0.25">
      <c r="A7" t="s">
        <v>5</v>
      </c>
      <c r="B7" s="6">
        <v>0.27501208054058995</v>
      </c>
    </row>
    <row r="8" spans="1:2" x14ac:dyDescent="0.25">
      <c r="A8" t="s">
        <v>6</v>
      </c>
      <c r="B8" s="6">
        <v>0.13803512623490669</v>
      </c>
    </row>
    <row r="9" spans="1:2" x14ac:dyDescent="0.25">
      <c r="A9" t="s">
        <v>7</v>
      </c>
      <c r="B9" s="6">
        <v>0.23332792168213673</v>
      </c>
    </row>
    <row r="10" spans="1:2" x14ac:dyDescent="0.25">
      <c r="A10" t="s">
        <v>8</v>
      </c>
      <c r="B10" s="6">
        <v>0.3716933396666098</v>
      </c>
    </row>
    <row r="11" spans="1:2" x14ac:dyDescent="0.25">
      <c r="A11" t="s">
        <v>9</v>
      </c>
      <c r="B11" s="6">
        <v>0.14027830011282438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17.423010996591138</v>
      </c>
    </row>
    <row r="14" spans="1:3" x14ac:dyDescent="0.25">
      <c r="A14" t="s">
        <v>12</v>
      </c>
      <c r="B14" s="6">
        <v>0.07459784327271518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0.7614799999999999</v>
      </c>
      <c r="C19" s="8" t="s">
        <v>19</v>
      </c>
    </row>
    <row r="20" spans="1:2" x14ac:dyDescent="0.25">
      <c r="A20" t="s">
        <v>20</v>
      </c>
      <c r="B20" s="10">
        <f>B17+B19*B18</f>
        <v>0.09186140000000001</v>
      </c>
    </row>
    <row r="21" spans="1:3" x14ac:dyDescent="0.25">
      <c r="A21" t="s">
        <v>21</v>
      </c>
      <c r="B21" s="6">
        <v>0.051384643049811184</v>
      </c>
      <c r="C21" s="8" t="s">
        <v>22</v>
      </c>
    </row>
    <row r="22" spans="1:2" x14ac:dyDescent="0.25">
      <c r="A22" t="s">
        <v>23</v>
      </c>
      <c r="B22" s="11">
        <v>167858667520</v>
      </c>
    </row>
    <row r="23" spans="1:2" x14ac:dyDescent="0.25">
      <c r="A23" t="s">
        <v>24</v>
      </c>
      <c r="B23" s="11">
        <v>95619000000</v>
      </c>
    </row>
    <row r="24" spans="1:2" x14ac:dyDescent="0.25">
      <c r="A24" t="s">
        <v>25</v>
      </c>
      <c r="B24" s="10">
        <f>B22/(B22+B23)</f>
        <v>0.6370887866891346</v>
      </c>
    </row>
    <row r="25" spans="1:2" x14ac:dyDescent="0.25">
      <c r="A25" t="s">
        <v>26</v>
      </c>
      <c r="B25" s="10">
        <f>1-B24</f>
        <v>0.3629112133108654</v>
      </c>
    </row>
    <row r="26" spans="1:2" x14ac:dyDescent="0.25">
      <c r="A26" t="s">
        <v>27</v>
      </c>
      <c r="B26" s="12">
        <f>B24*B20+B25*B21*(1-B8)</f>
        <v>0.07459784327271518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27412000000</v>
      </c>
      <c r="C29" s="8" t="s">
        <v>30</v>
      </c>
    </row>
    <row r="30" spans="1:2" x14ac:dyDescent="0.25">
      <c r="A30" t="s">
        <v>31</v>
      </c>
      <c r="B30" s="11">
        <v>92807000000</v>
      </c>
    </row>
    <row r="31" spans="1:2" x14ac:dyDescent="0.25">
      <c r="A31" t="s">
        <v>32</v>
      </c>
      <c r="B31" s="13">
        <v>2083000000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0.09364770128221722</v>
      </c>
      <c r="C5" s="10">
        <f>Assumptions!B6</f>
        <v>0.09364770128221722</v>
      </c>
      <c r="D5" s="10">
        <f>Assumptions!B6</f>
        <v>0.09364770128221722</v>
      </c>
      <c r="E5" s="10">
        <f>Assumptions!B6</f>
        <v>0.09364770128221722</v>
      </c>
      <c r="F5" s="10">
        <f>Assumptions!B6</f>
        <v>0.09364770128221722</v>
      </c>
    </row>
    <row r="6" spans="1:6" x14ac:dyDescent="0.25">
      <c r="A6" t="s">
        <v>43</v>
      </c>
      <c r="B6" s="18">
        <f>Assumptions!B29*(1+B5)</f>
        <v>29979070787.548138</v>
      </c>
      <c r="C6" s="18">
        <f>B6*(1+C5)</f>
        <v>32786541853.37889</v>
      </c>
      <c r="D6" s="18">
        <f>C6*(1+D5)</f>
        <v>35856926130.94103</v>
      </c>
      <c r="E6" s="18">
        <f>D6*(1+E5)</f>
        <v>39214844838.149925</v>
      </c>
      <c r="F6" s="18">
        <f>E6*(1+F5)</f>
        <v>42887224913.381485</v>
      </c>
    </row>
    <row r="7" spans="1:6" x14ac:dyDescent="0.25">
      <c r="A7" t="s">
        <v>5</v>
      </c>
      <c r="B7" s="10">
        <f>Assumptions!B7</f>
        <v>0.27501208054058995</v>
      </c>
      <c r="C7" s="10">
        <f>Assumptions!B7</f>
        <v>0.27501208054058995</v>
      </c>
      <c r="D7" s="10">
        <f>Assumptions!B7</f>
        <v>0.27501208054058995</v>
      </c>
      <c r="E7" s="10">
        <f>Assumptions!B7</f>
        <v>0.27501208054058995</v>
      </c>
      <c r="F7" s="10">
        <f>Assumptions!B7</f>
        <v>0.27501208054058995</v>
      </c>
    </row>
    <row r="8" spans="1:6" x14ac:dyDescent="0.25">
      <c r="A8" t="s">
        <v>44</v>
      </c>
      <c r="B8" s="18">
        <f>B6*B7</f>
        <v>8244606629.957236</v>
      </c>
      <c r="C8" s="18">
        <f>C6*C7</f>
        <v>9016695088.82886</v>
      </c>
      <c r="D8" s="18">
        <f>D6*D7</f>
        <v>9861087857.060339</v>
      </c>
      <c r="E8" s="18">
        <f>E6*E7</f>
        <v>10784556067.016026</v>
      </c>
      <c r="F8" s="18">
        <f>F6*F7</f>
        <v>11794504952.041265</v>
      </c>
    </row>
    <row r="9" spans="1:6" x14ac:dyDescent="0.25">
      <c r="A9" t="s">
        <v>45</v>
      </c>
      <c r="B9" s="18">
        <f>B8*(1-Assumptions!B8)</f>
        <v>7106561313.033941</v>
      </c>
      <c r="C9" s="18">
        <f>C8*(1-Assumptions!B8)</f>
        <v>7772074444.020705</v>
      </c>
      <c r="D9" s="18">
        <f>D8*(1-Assumptions!B8)</f>
        <v>8499911349.89751</v>
      </c>
      <c r="E9" s="18">
        <f>E8*(1-Assumptions!B8)</f>
        <v>9295908508.91804</v>
      </c>
      <c r="F9" s="18">
        <f>F8*(1-Assumptions!B8)</f>
        <v>10166448972.108017</v>
      </c>
    </row>
    <row r="10" spans="1:6" x14ac:dyDescent="0.25">
      <c r="A10" t="s">
        <v>46</v>
      </c>
      <c r="B10" s="18">
        <f>B6*Assumptions!B9</f>
        <v>6994954280.820265</v>
      </c>
      <c r="C10" s="18">
        <f>C6*Assumptions!B9</f>
        <v>7650015669.793288</v>
      </c>
      <c r="D10" s="18">
        <f>D6*Assumptions!B9</f>
        <v>8366422052.042371</v>
      </c>
      <c r="E10" s="18">
        <f>E6*Assumptions!B9</f>
        <v>9149918245.172989</v>
      </c>
      <c r="F10" s="18">
        <f>F6*Assumptions!B9</f>
        <v>10006787055.753658</v>
      </c>
    </row>
    <row r="11" spans="1:6" x14ac:dyDescent="0.25">
      <c r="A11" t="s">
        <v>47</v>
      </c>
      <c r="B11" s="18">
        <f>-B6*Assumptions!B10</f>
        <v>-11143020941.12547</v>
      </c>
      <c r="C11" s="18">
        <f>-C6*Assumptions!B10</f>
        <v>-12186539237.601479</v>
      </c>
      <c r="D11" s="18">
        <f>-D6*Assumptions!B10</f>
        <v>-13327780623.7884</v>
      </c>
      <c r="E11" s="18">
        <f>-E6*Assumptions!B10</f>
        <v>-14575896642.399858</v>
      </c>
      <c r="F11" s="18">
        <f>-F6*Assumptions!B10</f>
        <v>-15940895857.087793</v>
      </c>
    </row>
    <row r="12" spans="1:6" x14ac:dyDescent="0.25">
      <c r="A12" t="s">
        <v>48</v>
      </c>
      <c r="B12" s="18">
        <f>-(B6-Assumptions!B29)*Assumptions!B11</f>
        <v>-360104326.3465421</v>
      </c>
      <c r="C12" s="18">
        <f>-(C6-B6)*Assumptions!B11</f>
        <v>-393827268.73067737</v>
      </c>
      <c r="D12" s="18">
        <f>-(D6-C6)*Assumptions!B11</f>
        <v>-430708287.14955956</v>
      </c>
      <c r="E12" s="18">
        <f>-(E6-D6)*Assumptions!B11</f>
        <v>-471043128.16431636</v>
      </c>
      <c r="F12" s="18">
        <f>-(F6-E6)*Assumptions!B11</f>
        <v>-515155234.3216893</v>
      </c>
    </row>
    <row r="13" spans="1:6" x14ac:dyDescent="0.25">
      <c r="A13" s="19" t="s">
        <v>49</v>
      </c>
      <c r="B13" s="20">
        <f>B9+B10+B11+B12</f>
        <v>2598390326.3821945</v>
      </c>
      <c r="C13" s="20">
        <f>C9+C10+C11+C12</f>
        <v>2841723607.4818373</v>
      </c>
      <c r="D13" s="20">
        <f>D9+D10+D11+D12</f>
        <v>3107844491.00192</v>
      </c>
      <c r="E13" s="20">
        <f>E9+E10+E11+E12</f>
        <v>3398886983.5268517</v>
      </c>
      <c r="F13" s="20">
        <f>F9+F10+F11+F12</f>
        <v>3717184936.452193</v>
      </c>
    </row>
    <row r="14" spans="1:6" x14ac:dyDescent="0.25">
      <c r="A14" t="s">
        <v>50</v>
      </c>
      <c r="B14" s="21">
        <f>1/(1+Assumptions!$B$26)^(1-0.5*Assumptions!$B$32)</f>
        <v>0.9646661016672555</v>
      </c>
      <c r="C14" s="21">
        <f>1/(1+Assumptions!$B$26)^(2-0.5*Assumptions!$B$32)</f>
        <v>0.8976996442960841</v>
      </c>
      <c r="D14" s="21">
        <f>1/(1+Assumptions!$B$26)^(3-0.5*Assumptions!$B$32)</f>
        <v>0.8353819523423914</v>
      </c>
      <c r="E14" s="21">
        <f>1/(1+Assumptions!$B$26)^(4-0.5*Assumptions!$B$32)</f>
        <v>0.7773903117078798</v>
      </c>
      <c r="F14" s="21">
        <f>1/(1+Assumptions!$B$26)^(5-0.5*Assumptions!$B$32)</f>
        <v>0.7234244108850225</v>
      </c>
    </row>
    <row r="15" spans="1:6" x14ac:dyDescent="0.25">
      <c r="A15" s="19" t="s">
        <v>51</v>
      </c>
      <c r="B15" s="20">
        <f>B13*B14</f>
        <v>2506579066.761019</v>
      </c>
      <c r="C15" s="20">
        <f>C13*C14</f>
        <v>2551014271.62423</v>
      </c>
      <c r="D15" s="20">
        <f>D13*D14</f>
        <v>2596237198.46973</v>
      </c>
      <c r="E15" s="20">
        <f>E13*E14</f>
        <v>2642261811.5837946</v>
      </c>
      <c r="F15" s="20">
        <f>F13*F14</f>
        <v>2689102322.8036075</v>
      </c>
    </row>
    <row r="17" spans="1:2" x14ac:dyDescent="0.25">
      <c r="A17" s="22" t="s">
        <v>52</v>
      </c>
      <c r="B17" s="23">
        <f>SUM(B15:F15)</f>
        <v>12985194671.242382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3717184936.452193</v>
      </c>
    </row>
    <row r="5" spans="1:2" x14ac:dyDescent="0.25">
      <c r="A5" t="s">
        <v>56</v>
      </c>
      <c r="B5" s="18">
        <f>IF(Assumptions!$B$33=0,B4,B4-Forecast!F11-Forecast!F10-Forecast!F12)</f>
        <v>10166448972.108017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0.33513033223500677</v>
      </c>
    </row>
    <row r="7" spans="1:2" x14ac:dyDescent="0.25">
      <c r="A7" t="s">
        <v>58</v>
      </c>
      <c r="B7" s="18">
        <f>-MAX(Forecast!F9,0)*B6</f>
        <v>-3407085421.672803</v>
      </c>
    </row>
    <row r="8" spans="1:2" x14ac:dyDescent="0.25">
      <c r="A8" t="s">
        <v>59</v>
      </c>
      <c r="B8" s="18">
        <f>IF(OR(Assumptions!$B$33=0,Assumptions!B12&lt;=0),B5,MAX(B5+B7,0))</f>
        <v>6759363550.435214</v>
      </c>
    </row>
    <row r="9" spans="1:2" x14ac:dyDescent="0.25">
      <c r="A9" t="s">
        <v>60</v>
      </c>
      <c r="B9" s="18">
        <f>B8*(1+Assumptions!B12)/(Assumptions!B26-Assumptions!B12)</f>
        <v>139690502288.58487</v>
      </c>
    </row>
    <row r="10" spans="1:2" x14ac:dyDescent="0.25">
      <c r="A10" t="s">
        <v>61</v>
      </c>
      <c r="B10" s="18">
        <f>B9/(1+Assumptions!B26)^(5-0.5*Assumptions!B32)</f>
        <v>101055519324.3524</v>
      </c>
    </row>
    <row r="11" spans="1:2" x14ac:dyDescent="0.25">
      <c r="A11" t="s">
        <v>62</v>
      </c>
      <c r="B11" s="18">
        <f>Forecast!B17+B10</f>
        <v>114040713995.59479</v>
      </c>
    </row>
    <row r="12" spans="1:2" x14ac:dyDescent="0.25">
      <c r="A12" t="s">
        <v>63</v>
      </c>
      <c r="B12" s="18">
        <f>-Assumptions!B30</f>
        <v>-92807000000</v>
      </c>
    </row>
    <row r="13" spans="1:2" x14ac:dyDescent="0.25">
      <c r="A13" t="s">
        <v>64</v>
      </c>
      <c r="B13" s="18">
        <f>B11+B12</f>
        <v>21233713995.594788</v>
      </c>
    </row>
    <row r="14" spans="1:2" x14ac:dyDescent="0.25">
      <c r="A14" s="19" t="s">
        <v>65</v>
      </c>
      <c r="B14" s="24">
        <f>B13/Assumptions!B31</f>
        <v>10.193813728081992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21801292007.79492</v>
      </c>
    </row>
    <row r="18" spans="1:2" x14ac:dyDescent="0.25">
      <c r="A18" t="s">
        <v>60</v>
      </c>
      <c r="B18" s="18">
        <f>B17*Assumptions!B13</f>
        <v>379844150391.70544</v>
      </c>
    </row>
    <row r="19" spans="1:2" x14ac:dyDescent="0.25">
      <c r="A19" t="s">
        <v>61</v>
      </c>
      <c r="B19" s="18">
        <f>B18/(1+Assumptions!B26)^(5-0.5*Assumptions!B32)</f>
        <v>274788530725.2414</v>
      </c>
    </row>
    <row r="20" spans="1:2" x14ac:dyDescent="0.25">
      <c r="A20" t="s">
        <v>62</v>
      </c>
      <c r="B20" s="18">
        <f>Forecast!B17+B19</f>
        <v>287773725396.48376</v>
      </c>
    </row>
    <row r="21" spans="1:2" x14ac:dyDescent="0.25">
      <c r="A21" t="s">
        <v>63</v>
      </c>
      <c r="B21" s="18">
        <f>-Assumptions!B30</f>
        <v>-92807000000</v>
      </c>
    </row>
    <row r="22" spans="1:2" x14ac:dyDescent="0.25">
      <c r="A22" t="s">
        <v>64</v>
      </c>
      <c r="B22" s="18">
        <f>B20+B21</f>
        <v>194966725396.48376</v>
      </c>
    </row>
    <row r="23" spans="1:2" x14ac:dyDescent="0.25">
      <c r="A23" s="19" t="s">
        <v>65</v>
      </c>
      <c r="B23" s="25">
        <f>B22/Assumptions!B31</f>
        <v>93.59900403095716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80.47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10.193813728081992</v>
      </c>
    </row>
    <row r="29" spans="1:2" x14ac:dyDescent="0.25">
      <c r="A29" s="19" t="s">
        <v>73</v>
      </c>
      <c r="B29" s="12">
        <f>B28/B26-1</f>
        <v>-0.8733215642092458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0.054598</v>
      </c>
      <c r="B5" s="31">
        <v>33.41537240725915</v>
      </c>
      <c r="C5" s="31">
        <v>33.767242244541954</v>
      </c>
      <c r="D5" s="31">
        <v>34.11911208182479</v>
      </c>
      <c r="E5" s="31">
        <v>34.4709819191076</v>
      </c>
      <c r="F5" s="31">
        <v>34.82285175639042</v>
      </c>
    </row>
    <row r="6" spans="1:6" x14ac:dyDescent="0.25">
      <c r="A6" s="30">
        <v>0.064598</v>
      </c>
      <c r="B6" s="31">
        <v>19.691229787016557</v>
      </c>
      <c r="C6" s="31">
        <v>19.97626304744013</v>
      </c>
      <c r="D6" s="31">
        <v>20.261296307863663</v>
      </c>
      <c r="E6" s="31">
        <v>20.54632956828722</v>
      </c>
      <c r="F6" s="31">
        <v>20.831362828710766</v>
      </c>
    </row>
    <row r="7" spans="1:6" x14ac:dyDescent="0.25">
      <c r="A7" s="30">
        <v>0.074598</v>
      </c>
      <c r="B7" s="31">
        <v>9.7203676283619</v>
      </c>
      <c r="C7" s="31">
        <v>9.957022642089793</v>
      </c>
      <c r="D7" s="32">
        <v>10.193677655817677</v>
      </c>
      <c r="E7" s="31">
        <v>10.430332669545576</v>
      </c>
      <c r="F7" s="31">
        <v>10.666987683273462</v>
      </c>
    </row>
    <row r="8" spans="1:6" x14ac:dyDescent="0.25">
      <c r="A8" s="30">
        <v>0.084598</v>
      </c>
      <c r="B8" s="31">
        <v>2.1680046772946464</v>
      </c>
      <c r="C8" s="31">
        <v>2.368166075911633</v>
      </c>
      <c r="D8" s="31">
        <v>2.5683274745285907</v>
      </c>
      <c r="E8" s="31">
        <v>2.7684888731455772</v>
      </c>
      <c r="F8" s="31">
        <v>2.968650271762535</v>
      </c>
    </row>
    <row r="9" spans="1:6" x14ac:dyDescent="0.25">
      <c r="A9" s="30">
        <v>0.094598</v>
      </c>
      <c r="B9" s="31">
        <v>-3.7360114787738303</v>
      </c>
      <c r="C9" s="31">
        <v>-3.5642514363606748</v>
      </c>
      <c r="D9" s="31">
        <v>-3.3924913939475334</v>
      </c>
      <c r="E9" s="31">
        <v>-3.2207313515343703</v>
      </c>
      <c r="F9" s="31">
        <v>-3.0489713091212294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27412000000</v>
      </c>
      <c r="C5" s="18">
        <v>24753000000</v>
      </c>
      <c r="D5" s="18">
        <v>28114000000</v>
      </c>
      <c r="E5" s="18">
        <v>20956000000</v>
      </c>
      <c r="F5" s="8" t="s">
        <v>84</v>
      </c>
    </row>
    <row r="6" spans="1:6" x14ac:dyDescent="0.25">
      <c r="A6" t="s">
        <v>44</v>
      </c>
      <c r="B6" s="18">
        <v>8020000000</v>
      </c>
      <c r="C6" s="18">
        <v>7127000000</v>
      </c>
      <c r="D6" s="18">
        <v>9832000000</v>
      </c>
      <c r="E6" s="18">
        <v>3559000000</v>
      </c>
      <c r="F6" s="8" t="s">
        <v>85</v>
      </c>
    </row>
    <row r="7" spans="1:6" x14ac:dyDescent="0.25">
      <c r="A7" t="s">
        <v>86</v>
      </c>
      <c r="B7" s="18">
        <v>6941000000</v>
      </c>
      <c r="C7" s="18">
        <v>5761000000</v>
      </c>
      <c r="D7" s="18">
        <v>6151000000</v>
      </c>
      <c r="E7" s="18">
        <v>4790000000</v>
      </c>
      <c r="F7" s="8" t="s">
        <v>87</v>
      </c>
    </row>
    <row r="8" spans="1:6" x14ac:dyDescent="0.25">
      <c r="A8" t="s">
        <v>88</v>
      </c>
      <c r="B8" s="18">
        <v>9274000000</v>
      </c>
      <c r="C8" s="18">
        <v>8514000000</v>
      </c>
      <c r="D8" s="18">
        <v>9548000000</v>
      </c>
      <c r="E8" s="18">
        <v>9742000000</v>
      </c>
      <c r="F8" s="8" t="s">
        <v>89</v>
      </c>
    </row>
    <row r="9" spans="1:6" x14ac:dyDescent="0.25">
      <c r="A9" t="s">
        <v>90</v>
      </c>
      <c r="B9" s="18">
        <v>373000000</v>
      </c>
      <c r="C9" s="18">
        <v>-160000000</v>
      </c>
      <c r="D9" s="18">
        <v>1393000000</v>
      </c>
      <c r="E9" s="18">
        <v>-412000000</v>
      </c>
      <c r="F9" s="8" t="s">
        <v>91</v>
      </c>
    </row>
    <row r="10" spans="1:6" x14ac:dyDescent="0.25">
      <c r="A10" t="s">
        <v>92</v>
      </c>
      <c r="B10" s="18">
        <v>95619000000</v>
      </c>
      <c r="C10" s="18">
        <v>82333000000</v>
      </c>
      <c r="D10" s="18">
        <v>73211000000</v>
      </c>
      <c r="E10" s="18">
        <v>64966000000</v>
      </c>
      <c r="F10" s="8" t="s">
        <v>93</v>
      </c>
    </row>
    <row r="11" spans="1:6" x14ac:dyDescent="0.25">
      <c r="A11" t="s">
        <v>94</v>
      </c>
      <c r="B11" s="18">
        <v>2812000000</v>
      </c>
      <c r="C11" s="18">
        <v>1487000000</v>
      </c>
      <c r="D11" s="18">
        <v>2690000000</v>
      </c>
      <c r="E11" s="18">
        <v>1601000000</v>
      </c>
      <c r="F11" s="8" t="s">
        <v>95</v>
      </c>
    </row>
    <row r="12" spans="1:6" x14ac:dyDescent="0.25">
      <c r="A12" t="s">
        <v>32</v>
      </c>
      <c r="B12" s="34">
        <v>2083000000</v>
      </c>
      <c r="C12" s="34">
        <v>2059000000</v>
      </c>
      <c r="D12" s="34">
        <v>2031000000</v>
      </c>
      <c r="E12" s="34">
        <v>1987000000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