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<sst xmlns="http://schemas.openxmlformats.org/spreadsheetml/2006/main" count="120" uniqueCount="107">
  <si>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NextEra Energy, Inc. (NEE)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</si>
  <si>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</si>
  <si>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</si>
  <si>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</si>
  <si>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</si>
  <si>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</si>
  <si>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</si>
  <si>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</si>
  <si>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</si>
  <si>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</si>
  <si>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</si>
  <si>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</si>
  <si>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</si>
  <si>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</si>
  <si>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</si>
  <si>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</si>
  <si>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</si>
  <si>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</si>
  <si>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</si>
  <si>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</si>
  <si>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</si>
  <si>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</si>
  <si>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</si>
  <si>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</si>
  <si>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B+ rating at 1.8x interest cover, capped at 200bp because one year's cover is too noisy to charge more.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</si>
  <si>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</si>
  <si>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</si>
  <si>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</si>
  <si>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</si>
  <si>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</si>
  <si>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</si>
  <si>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</si>
  <si>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</si>
  <si>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</si>
  <si>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</si>
  <si>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</si>
  <si>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</si>
  <si>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</si>
  <si>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</si>
  <si>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</si>
  <si>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</si>
  <si>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</si>
  <si>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</si>
  <si>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</si>
  <si>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</si>
  <si>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</si>
  <si>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</si>
  <si>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</si>
  <si>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</si>
  <si>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</si>
  <si>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</si>
  <si>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</si>
  <si>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</si>
  <si>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</si>
  <si>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</si>
  <si>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</si>
  <si>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</si>
  <si>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</si>
  <si>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</si>
  <si>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</si>
  <si>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</si>
  <si>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</si>
  <si>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</si>
  <si>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</si>
  <si>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</si>
  <si>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</si>
  <si>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</si>
  <si>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</si>
  <si>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</si>
  <si>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</si>
  <si>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</si>
  <si>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</si>
  <si>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</si>
  <si>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</si>
  <si>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</si>
  <si>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</si>
  <si>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</si>
  <si>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</si>
  <si>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</si>
  <si>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</si>
  <si>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</si>
  <si>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</si>
  <si>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</si>
  <si>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</si>
  <si>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</si>
  <si>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</si>
  <si>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</si>
  <si>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</si>
  <si>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</si>
  <si>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</si>
  <si>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</si>
  <si>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</si>
  <si>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</si>
  <si>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</si>
  <si>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</si>
  <si>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</si>
  <si>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</si>
  <si>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</si>
  <si>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</si>
  <si>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</si>
  <si>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</si>
  <si>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</si>
  <si>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</si>
  <si>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</si>
  <si>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</si>
  <si>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37.2% of revenue against depreciation of 23.3%.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</si>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</sst>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0.1160284856996936</v>
      </c>
    </row>
    <row r="7" spans="1:2" x14ac:dyDescent="0.25">
      <c r="A7" t="s">
        <v>4</v>
      </c>
      <c r="B7" s="5">
        <v>0.27501208054058995</v>
      </c>
    </row>
    <row r="8" spans="1:2" x14ac:dyDescent="0.25">
      <c r="A8" t="s">
        <v>5</v>
      </c>
      <c r="B8" s="5">
        <v>0.13803512623490669</v>
      </c>
    </row>
    <row r="9" spans="1:2" x14ac:dyDescent="0.25">
      <c r="A9" t="s">
        <v>6</v>
      </c>
      <c r="B9" s="5">
        <v>0.23332792168213673</v>
      </c>
    </row>
    <row r="10" spans="1:3" x14ac:dyDescent="0.25">
      <c r="A10" t="s">
        <v>7</v>
      </c>
      <c r="B10" s="5">
        <v>0.3716933396666098</v>
      </c>
      <c r="C10" s="6" t="s">
        <v>8</v>
      </c>
    </row>
    <row r="11" spans="1:2" x14ac:dyDescent="0.25">
      <c r="A11" t="s">
        <v>9</v>
      </c>
      <c r="B11" s="5">
        <v>-0.0773367430626886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17.93813836829089</v>
      </c>
    </row>
    <row r="14" spans="1:3" x14ac:dyDescent="0.25">
      <c r="A14" t="s">
        <v>12</v>
      </c>
      <c r="B14" s="5">
        <v>0.07339806546143449</v>
      </c>
      <c r="C14" s="6" t="s">
        <v>13</v>
      </c>
    </row>
    <row r="15" spans="1:3" x14ac:dyDescent="0.25">
      <c r="A15" t="s">
        <v>14</v>
      </c>
      <c r="B15" s="5">
        <v>0.23332792168213673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0.75813</v>
      </c>
      <c r="C19" s="6" t="s">
        <v>21</v>
      </c>
    </row>
    <row r="20" spans="1:2" x14ac:dyDescent="0.25">
      <c r="A20" t="s">
        <v>22</v>
      </c>
      <c r="B20" s="9">
        <f>B17+B19*B18</f>
        <v>0.081008899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175565488128</v>
      </c>
    </row>
    <row r="23" spans="1:2" x14ac:dyDescent="0.25">
      <c r="A23" t="s">
        <v>26</v>
      </c>
      <c r="B23" s="10">
        <v>95619000000</v>
      </c>
    </row>
    <row r="24" spans="1:2" x14ac:dyDescent="0.25">
      <c r="A24" t="s">
        <v>27</v>
      </c>
      <c r="B24" s="9">
        <f>B22/(B22+B23)</f>
        <v>0.6474023987873986</v>
      </c>
    </row>
    <row r="25" spans="1:2" x14ac:dyDescent="0.25">
      <c r="A25" t="s">
        <v>28</v>
      </c>
      <c r="B25" s="9">
        <f>1-B24</f>
        <v>0.3525976012126014</v>
      </c>
    </row>
    <row r="26" spans="1:2" x14ac:dyDescent="0.25">
      <c r="A26" t="s">
        <v>29</v>
      </c>
      <c r="B26" s="11">
        <f>B24*B20+B25*B21*(1-B8)</f>
        <v>0.07339806546143449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27412000000</v>
      </c>
      <c r="C29" s="6" t="s">
        <v>32</v>
      </c>
    </row>
    <row r="30" spans="1:2" x14ac:dyDescent="0.25">
      <c r="A30" t="s">
        <v>33</v>
      </c>
      <c r="B30" s="10">
        <v>92807000000</v>
      </c>
    </row>
    <row r="31" spans="1:2" x14ac:dyDescent="0.25">
      <c r="A31" t="s">
        <v>34</v>
      </c>
      <c r="B31" s="12">
        <v>2083000000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0.1160284856996936</v>
      </c>
      <c r="C5" s="5">
        <v>0.11923526955007313</v>
      </c>
      <c r="D5" s="5">
        <v>0.10745586085631399</v>
      </c>
      <c r="E5" s="5">
        <v>0.09567645216255485</v>
      </c>
      <c r="F5" s="5">
        <v>0.0838970434687957</v>
      </c>
      <c r="G5" s="5">
        <v>0.07211763477503656</v>
      </c>
      <c r="H5" s="5">
        <v>0.060338226081277424</v>
      </c>
      <c r="I5" s="5">
        <v>0.04855881738751827</v>
      </c>
      <c r="J5" s="5">
        <v>0.03677940869375913</v>
      </c>
      <c r="K5" s="5">
        <v>0.024999999999999994</v>
      </c>
    </row>
    <row r="6" spans="1:11" x14ac:dyDescent="0.25">
      <c r="A6" t="s">
        <v>50</v>
      </c>
      <c r="B6" s="18">
        <f>Assumptions!B29*(1+B5)</f>
        <v>30592572850</v>
      </c>
      <c r="C6" s="18">
        <f>B6*(1+C5)</f>
        <v>34240286520</v>
      </c>
      <c r="D6" s="18">
        <f>C6*(1+D5)</f>
        <v>37919605983.97345</v>
      </c>
      <c r="E6" s="18">
        <f>D6*(1+E5)</f>
        <v>41547619351.92201</v>
      </c>
      <c r="F6" s="18">
        <f>E6*(1+F5)</f>
        <v>45033341778.715195</v>
      </c>
      <c r="G6" s="18">
        <f>F6*(1+G5)</f>
        <v>48281039873.81197</v>
      </c>
      <c r="H6" s="18">
        <f>G6*(1+H5)</f>
        <v>51194232173.15721</v>
      </c>
      <c r="I6" s="18">
        <f>H6*(1+I5)</f>
        <v>53680163544.54776</v>
      </c>
      <c r="J6" s="18">
        <f>I6*(1+J5)</f>
        <v>55654488218.300514</v>
      </c>
      <c r="K6" s="18">
        <f>J6*(1+K5)</f>
        <v>57045850423.75802</v>
      </c>
    </row>
    <row r="7" spans="1:11" x14ac:dyDescent="0.25">
      <c r="A7" t="s">
        <v>4</v>
      </c>
      <c r="B7" s="9">
        <f>Assumptions!B7</f>
        <v>0.27501208054058995</v>
      </c>
      <c r="C7" s="9">
        <f>Assumptions!B7</f>
        <v>0.27501208054058995</v>
      </c>
      <c r="D7" s="9">
        <f>Assumptions!B7</f>
        <v>0.27501208054058995</v>
      </c>
      <c r="E7" s="9">
        <f>Assumptions!B7</f>
        <v>0.27501208054058995</v>
      </c>
      <c r="F7" s="9">
        <f>Assumptions!B7</f>
        <v>0.27501208054058995</v>
      </c>
      <c r="G7" s="9">
        <f>Assumptions!B7</f>
        <v>0.27501208054058995</v>
      </c>
      <c r="H7" s="9">
        <f>Assumptions!B7</f>
        <v>0.27501208054058995</v>
      </c>
      <c r="I7" s="9">
        <f>Assumptions!B7</f>
        <v>0.27501208054058995</v>
      </c>
      <c r="J7" s="9">
        <f>Assumptions!B7</f>
        <v>0.27501208054058995</v>
      </c>
      <c r="K7" s="9">
        <f>Assumptions!B7</f>
        <v>0.27501208054058995</v>
      </c>
    </row>
    <row r="8" spans="1:11" x14ac:dyDescent="0.25">
      <c r="A8" t="s">
        <v>51</v>
      </c>
      <c r="B8" s="18">
        <f>B6*B7</f>
        <v>8413327108.568066</v>
      </c>
      <c r="C8" s="18">
        <f>C6*C7</f>
        <v>9416492434.171116</v>
      </c>
      <c r="D8" s="18">
        <f>D6*D7</f>
        <v>10428349734.931944</v>
      </c>
      <c r="E8" s="18">
        <f>E6*E7</f>
        <v>11426097239.48055</v>
      </c>
      <c r="F8" s="18">
        <f>F6*F7</f>
        <v>12384713016.259937</v>
      </c>
      <c r="G8" s="18">
        <f>G6*G7</f>
        <v>13277869226.360214</v>
      </c>
      <c r="H8" s="18">
        <f>H6*H7</f>
        <v>14079032301.617973</v>
      </c>
      <c r="I8" s="18">
        <f>I6*I7</f>
        <v>14762693460.145208</v>
      </c>
      <c r="J8" s="18">
        <f>J6*J7</f>
        <v>15305656596.336576</v>
      </c>
      <c r="K8" s="18">
        <f>K6*K7</f>
        <v>15688298011.244987</v>
      </c>
    </row>
    <row r="9" spans="1:11" x14ac:dyDescent="0.25">
      <c r="A9" t="s">
        <v>52</v>
      </c>
      <c r="B9" s="18">
        <f>B8*(1-Assumptions!B8)</f>
        <v>7251992439.08131</v>
      </c>
      <c r="C9" s="18">
        <f>C8*(1-Assumptions!B8)</f>
        <v>8116685712.330262</v>
      </c>
      <c r="D9" s="18">
        <f>D8*(1-Assumptions!B8)</f>
        <v>8988871162.848858</v>
      </c>
      <c r="E9" s="18">
        <f>E8*(1-Assumptions!B8)</f>
        <v>9848894464.656534</v>
      </c>
      <c r="F9" s="18">
        <f>F8*(1-Assumptions!B8)</f>
        <v>10675187591.677404</v>
      </c>
      <c r="G9" s="18">
        <f>G8*(1-Assumptions!B8)</f>
        <v>11445056871.569</v>
      </c>
      <c r="H9" s="18">
        <f>H8*(1-Assumptions!B8)</f>
        <v>12135631300.598808</v>
      </c>
      <c r="I9" s="18">
        <f>I8*(1-Assumptions!B8)</f>
        <v>12724923204.806833</v>
      </c>
      <c r="J9" s="18">
        <f>J8*(1-Assumptions!B8)</f>
        <v>13192938355.953125</v>
      </c>
      <c r="K9" s="18">
        <f>K8*(1-Assumptions!B8)</f>
        <v>13522761814.85195</v>
      </c>
    </row>
    <row r="10" spans="1:11" x14ac:dyDescent="0.25">
      <c r="A10" t="s">
        <v>53</v>
      </c>
      <c r="B10" s="18">
        <f>B6*Assumptions!B9</f>
        <v>7138101441.999863</v>
      </c>
      <c r="C10" s="18">
        <f>C6*Assumptions!B9</f>
        <v>7989214891.512482</v>
      </c>
      <c r="D10" s="18">
        <f>D6*Assumptions!B9</f>
        <v>8847702855.24604</v>
      </c>
      <c r="E10" s="18">
        <f>E6*Assumptions!B9</f>
        <v>9694219674.224487</v>
      </c>
      <c r="F10" s="18">
        <f>F6*Assumptions!B9</f>
        <v>10507536043.628956</v>
      </c>
      <c r="G10" s="18">
        <f>G6*Assumptions!B9</f>
        <v>11265314690.40892</v>
      </c>
      <c r="H10" s="18">
        <f>H6*Assumptions!B9</f>
        <v>11945043795.07555</v>
      </c>
      <c r="I10" s="18">
        <f>I6*Assumptions!B9</f>
        <v>12525080995.40653</v>
      </c>
      <c r="J10" s="18">
        <f>J6*Assumptions!B9</f>
        <v>12985746068.259024</v>
      </c>
      <c r="K10" s="18">
        <f>K6*Assumptions!B9</f>
        <v>13310389719.965498</v>
      </c>
    </row>
    <row r="11" spans="1:11" x14ac:dyDescent="0.25">
      <c r="A11" t="s">
        <v>54</v>
      </c>
      <c r="B11" s="18">
        <f>-B6*B19</f>
        <v>-11371055571.610554</v>
      </c>
      <c r="C11" s="18">
        <f>-C6*C19</f>
        <v>-12507657563.151571</v>
      </c>
      <c r="D11" s="18">
        <f>-D6*D19</f>
        <v>-13608892360.766973</v>
      </c>
      <c r="E11" s="18">
        <f>-E6*E19</f>
        <v>-14644927653.504398</v>
      </c>
      <c r="F11" s="18">
        <f>-F6*F19</f>
        <v>-15585260646.57093</v>
      </c>
      <c r="G11" s="18">
        <f>-G6*G19</f>
        <v>-16400105738.874123</v>
      </c>
      <c r="H11" s="18">
        <f>-H6*H19</f>
        <v>-17061879806.422081</v>
      </c>
      <c r="I11" s="18">
        <f>-I6*I19</f>
        <v>-17546688720.647774</v>
      </c>
      <c r="J11" s="18">
        <f>-J6*J19</f>
        <v>-17835708836.759586</v>
      </c>
      <c r="K11" s="18">
        <f>-K6*K19</f>
        <v>-17916356420.122334</v>
      </c>
    </row>
    <row r="12" spans="1:11" x14ac:dyDescent="0.25">
      <c r="A12" t="s">
        <v>55</v>
      </c>
      <c r="B12" s="18">
        <f>-(B6-Assumptions!B29)*Assumptions!B11</f>
        <v>245975145.2926132</v>
      </c>
      <c r="C12" s="18">
        <f>-(C6-B6)*Assumptions!B11</f>
        <v>282102294.8630469</v>
      </c>
      <c r="D12" s="18">
        <f>-(D6-C6)*Assumptions!B11</f>
        <v>284546584.0308638</v>
      </c>
      <c r="E12" s="18">
        <f>-(E6-D6)*Assumptions!B11</f>
        <v>280578737.6650375</v>
      </c>
      <c r="F12" s="18">
        <f>-(F6-E6)*Assumptions!B11</f>
        <v>269574419.70875573</v>
      </c>
      <c r="G12" s="18">
        <f>-(G6-F6)*Assumptions!B11</f>
        <v>251166393.1256828</v>
      </c>
      <c r="H12" s="18">
        <f>-(H6-G6)*Assumptions!B11</f>
        <v>225296804.34666568</v>
      </c>
      <c r="I12" s="18">
        <f>-(I6-H6)*Assumptions!B11</f>
        <v>192253835.740708</v>
      </c>
      <c r="J12" s="18">
        <f>-(J6-I6)*Assumptions!B11</f>
        <v>152687840.01634327</v>
      </c>
      <c r="K12" s="18">
        <f>-(K6-J6)*Assumptions!B11</f>
        <v>107603421.39060275</v>
      </c>
    </row>
    <row r="13" spans="1:11" x14ac:dyDescent="0.25">
      <c r="A13" s="19" t="s">
        <v>56</v>
      </c>
      <c r="B13" s="20">
        <f>B9+B10+B11+B12</f>
        <v>3265013454.763232</v>
      </c>
      <c r="C13" s="20">
        <f>C9+C10+C11+C12</f>
        <v>3880345335.5542183</v>
      </c>
      <c r="D13" s="20">
        <f>D9+D10+D11+D12</f>
        <v>4512228241.3587885</v>
      </c>
      <c r="E13" s="20">
        <f>E9+E10+E11+E12</f>
        <v>5178765223.041658</v>
      </c>
      <c r="F13" s="20">
        <f>F9+F10+F11+F12</f>
        <v>5867037408.444183</v>
      </c>
      <c r="G13" s="20">
        <f>G9+G10+G11+G12</f>
        <v>6561432216.229481</v>
      </c>
      <c r="H13" s="20">
        <f>H9+H10+H11+H12</f>
        <v>7244092093.598943</v>
      </c>
      <c r="I13" s="20">
        <f>I9+I10+I11+I12</f>
        <v>7895569315.306298</v>
      </c>
      <c r="J13" s="20">
        <f>J9+J10+J11+J12</f>
        <v>8495663427.468907</v>
      </c>
      <c r="K13" s="20">
        <f>K9+K10+K11+K12</f>
        <v>9024398536.085716</v>
      </c>
    </row>
    <row r="14" spans="1:11" x14ac:dyDescent="0.25">
      <c r="A14" t="s">
        <v>57</v>
      </c>
      <c r="B14" s="21">
        <f>1/(1+Assumptions!$B$26)^(1-0.5*Assumptions!$B$32)</f>
        <v>0.9652050730836526</v>
      </c>
      <c r="C14" s="21">
        <f>1/(1+Assumptions!$B$26)^(2-0.5*Assumptions!$B$32)</f>
        <v>0.8992051543047342</v>
      </c>
      <c r="D14" s="21">
        <f>1/(1+Assumptions!$B$26)^(3-0.5*Assumptions!$B$32)</f>
        <v>0.8377182549869624</v>
      </c>
      <c r="E14" s="21">
        <f>1/(1+Assumptions!$B$26)^(4-0.5*Assumptions!$B$32)</f>
        <v>0.7804357786194093</v>
      </c>
      <c r="F14" s="21">
        <f>1/(1+Assumptions!$B$26)^(5-0.5*Assumptions!$B$32)</f>
        <v>0.7270702302634708</v>
      </c>
      <c r="G14" s="21">
        <f>1/(1+Assumptions!$B$26)^(6-0.5*Assumptions!$B$32)</f>
        <v>0.6773537736449304</v>
      </c>
      <c r="H14" s="21">
        <f>1/(1+Assumptions!$B$26)^(7-0.5*Assumptions!$B$32)</f>
        <v>0.6310368869108668</v>
      </c>
      <c r="I14" s="21">
        <f>1/(1+Assumptions!$B$26)^(8-0.5*Assumptions!$B$32)</f>
        <v>0.5878871103047827</v>
      </c>
      <c r="J14" s="21">
        <f>1/(1+Assumptions!$B$26)^(9-0.5*Assumptions!$B$32)</f>
        <v>0.5476878794746668</v>
      </c>
      <c r="K14" s="21">
        <f>1/(1+Assumptions!$B$26)^(10-0.5*Assumptions!$B$32)</f>
        <v>0.510237438558477</v>
      </c>
    </row>
    <row r="15" spans="1:11" x14ac:dyDescent="0.25">
      <c r="A15" s="19" t="s">
        <v>58</v>
      </c>
      <c r="B15" s="20">
        <f>B13*B14</f>
        <v>3151407550.2238545</v>
      </c>
      <c r="C15" s="20">
        <f>C13*C14</f>
        <v>3489226526.2126865</v>
      </c>
      <c r="D15" s="20">
        <f>D13*D14</f>
        <v>3779975968.4539742</v>
      </c>
      <c r="E15" s="20">
        <f>E13*E14</f>
        <v>4041693669.131635</v>
      </c>
      <c r="F15" s="20">
        <f>F13*F14</f>
        <v>4265748239.5219097</v>
      </c>
      <c r="G15" s="20">
        <f>G13*G14</f>
        <v>4444410872.178458</v>
      </c>
      <c r="H15" s="20">
        <f>H13*H14</f>
        <v>4571289323.2403</v>
      </c>
      <c r="I15" s="20">
        <f>I13*I14</f>
        <v>4641703428.986531</v>
      </c>
      <c r="J15" s="20">
        <f>J13*J14</f>
        <v>4652971887.320926</v>
      </c>
      <c r="K15" s="20">
        <f>K13*K14</f>
        <v>4604585993.583245</v>
      </c>
    </row>
    <row r="17" spans="1:2" x14ac:dyDescent="0.25">
      <c r="A17" s="22" t="s">
        <v>59</v>
      </c>
      <c r="B17" s="23">
        <f>SUM(B15:K15)</f>
        <v>41643013458.853516</v>
      </c>
    </row>
    <row r="19" spans="1:11" x14ac:dyDescent="0.25">
      <c r="A19" t="s">
        <v>7</v>
      </c>
      <c r="B19" s="9">
        <f>Assumptions!$B$10+($B$20-Assumptions!$B$10)*0/9</f>
        <v>0.3716933396666098</v>
      </c>
      <c r="C19" s="9">
        <f>Assumptions!$B$10+($B$20-Assumptions!$B$10)*1/9</f>
        <v>0.36529068049257585</v>
      </c>
      <c r="D19" s="9">
        <f>Assumptions!$B$10+($B$20-Assumptions!$B$10)*2/9</f>
        <v>0.3588880213185419</v>
      </c>
      <c r="E19" s="9">
        <f>Assumptions!$B$10+($B$20-Assumptions!$B$10)*3/9</f>
        <v>0.352485362144508</v>
      </c>
      <c r="F19" s="9">
        <f>Assumptions!$B$10+($B$20-Assumptions!$B$10)*4/9</f>
        <v>0.34608270297047405</v>
      </c>
      <c r="G19" s="9">
        <f>Assumptions!$B$10+($B$20-Assumptions!$B$10)*5/9</f>
        <v>0.3396800437964401</v>
      </c>
      <c r="H19" s="9">
        <f>Assumptions!$B$10+($B$20-Assumptions!$B$10)*6/9</f>
        <v>0.33327738462240625</v>
      </c>
      <c r="I19" s="9">
        <f>Assumptions!$B$10+($B$20-Assumptions!$B$10)*7/9</f>
        <v>0.3268747254483723</v>
      </c>
      <c r="J19" s="9">
        <f>Assumptions!$B$10+($B$20-Assumptions!$B$10)*8/9</f>
        <v>0.3204720662743384</v>
      </c>
      <c r="K19" s="9">
        <f>Assumptions!$B$10+($B$20-Assumptions!$B$10)*9/9</f>
        <v>0.31406940710030445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0.31406940710030445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9024398536.085716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13522761814.85195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0.3406084321546014</v>
      </c>
    </row>
    <row r="7" spans="1:2" x14ac:dyDescent="0.25">
      <c r="A7" t="s">
        <v>66</v>
      </c>
      <c r="B7" s="18">
        <f>-MAX(B5,0)*B6</f>
        <v>-4605966700.156835</v>
      </c>
    </row>
    <row r="8" spans="1:2" x14ac:dyDescent="0.25">
      <c r="A8" t="s">
        <v>67</v>
      </c>
      <c r="B8" s="18">
        <f>IF(OR(Assumptions!$B$33=0,Assumptions!B12&lt;=0),B5,MAX(B5+B7,0))</f>
        <v>8916795114.695114</v>
      </c>
    </row>
    <row r="9" spans="1:2" x14ac:dyDescent="0.25">
      <c r="A9" t="s">
        <v>68</v>
      </c>
      <c r="B9" s="18">
        <f>B8*(1+Assumptions!B12)/(Assumptions!B26-Assumptions!B12)</f>
        <v>188844634706.43018</v>
      </c>
    </row>
    <row r="10" spans="1:2" x14ac:dyDescent="0.25">
      <c r="A10" t="s">
        <v>69</v>
      </c>
      <c r="B10" s="18">
        <f>B9/(1+Assumptions!B26)^(10-0.5*Assumptions!B32)</f>
        <v>96355602698.12021</v>
      </c>
    </row>
    <row r="11" spans="1:2" x14ac:dyDescent="0.25">
      <c r="A11" t="s">
        <v>70</v>
      </c>
      <c r="B11" s="18">
        <f>Forecast!B17+B10</f>
        <v>137998616156.97372</v>
      </c>
    </row>
    <row r="12" spans="1:2" x14ac:dyDescent="0.25">
      <c r="A12" t="s">
        <v>71</v>
      </c>
      <c r="B12" s="18">
        <f>-Assumptions!B30</f>
        <v>-92807000000</v>
      </c>
    </row>
    <row r="13" spans="1:2" x14ac:dyDescent="0.25">
      <c r="A13" t="s">
        <v>72</v>
      </c>
      <c r="B13" s="18">
        <f>B11+B12</f>
        <v>45191616156.973724</v>
      </c>
    </row>
    <row r="14" spans="1:2" x14ac:dyDescent="0.25">
      <c r="A14" s="19" t="s">
        <v>73</v>
      </c>
      <c r="B14" s="24">
        <f>B13/Assumptions!B31</f>
        <v>21.695447026871687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28998687731.210487</v>
      </c>
    </row>
    <row r="18" spans="1:2" x14ac:dyDescent="0.25">
      <c r="A18" t="s">
        <v>68</v>
      </c>
      <c r="B18" s="18">
        <f>B17*Assumptions!B13</f>
        <v>520182473021.3131</v>
      </c>
    </row>
    <row r="19" spans="1:2" x14ac:dyDescent="0.25">
      <c r="A19" t="s">
        <v>69</v>
      </c>
      <c r="B19" s="18">
        <f>B18/(1+Assumptions!B26)^(10-0.5*Assumptions!B32)</f>
        <v>265416572617.40887</v>
      </c>
    </row>
    <row r="20" spans="1:2" x14ac:dyDescent="0.25">
      <c r="A20" t="s">
        <v>70</v>
      </c>
      <c r="B20" s="18">
        <f>Forecast!B17+B19</f>
        <v>307059586076.2624</v>
      </c>
    </row>
    <row r="21" spans="1:2" x14ac:dyDescent="0.25">
      <c r="A21" t="s">
        <v>71</v>
      </c>
      <c r="B21" s="18">
        <f>-Assumptions!B30</f>
        <v>-92807000000</v>
      </c>
    </row>
    <row r="22" spans="1:2" x14ac:dyDescent="0.25">
      <c r="A22" t="s">
        <v>72</v>
      </c>
      <c r="B22" s="18">
        <f>B20+B21</f>
        <v>214252586076.2624</v>
      </c>
    </row>
    <row r="23" spans="1:2" x14ac:dyDescent="0.25">
      <c r="A23" s="19" t="s">
        <v>73</v>
      </c>
      <c r="B23" s="25">
        <f>B22/Assumptions!B31</f>
        <v>102.85769854837369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83.71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21.695447026871687</v>
      </c>
    </row>
    <row r="29" spans="1:2" x14ac:dyDescent="0.25">
      <c r="A29" s="19" t="s">
        <v>81</v>
      </c>
      <c r="B29" s="11">
        <f>B28/B26-1</f>
        <v>-0.7408261016978654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0.053398</v>
      </c>
      <c r="B5" s="31">
        <v>54.063495550362425</v>
      </c>
      <c r="C5" s="31">
        <v>52.54137758707572</v>
      </c>
      <c r="D5" s="31">
        <v>51.019259623788955</v>
      </c>
      <c r="E5" s="31">
        <v>49.49714166050223</v>
      </c>
      <c r="F5" s="31">
        <v>47.97502369721548</v>
      </c>
    </row>
    <row r="6" spans="1:6" x14ac:dyDescent="0.25">
      <c r="A6" s="30">
        <v>0.063398</v>
      </c>
      <c r="B6" s="31">
        <v>36.4017297659634</v>
      </c>
      <c r="C6" s="31">
        <v>35.19252500300137</v>
      </c>
      <c r="D6" s="31">
        <v>33.98332024003931</v>
      </c>
      <c r="E6" s="31">
        <v>32.77411547707729</v>
      </c>
      <c r="F6" s="31">
        <v>31.56491071411521</v>
      </c>
    </row>
    <row r="7" spans="1:6" x14ac:dyDescent="0.25">
      <c r="A7" s="30">
        <v>0.073398</v>
      </c>
      <c r="B7" s="31">
        <v>23.667513099233933</v>
      </c>
      <c r="C7" s="31">
        <v>22.68151463746421</v>
      </c>
      <c r="D7" s="32">
        <v>21.695516175694443</v>
      </c>
      <c r="E7" s="31">
        <v>20.709517713924708</v>
      </c>
      <c r="F7" s="31">
        <v>19.72351925215496</v>
      </c>
    </row>
    <row r="8" spans="1:6" x14ac:dyDescent="0.25">
      <c r="A8" s="30">
        <v>0.083398</v>
      </c>
      <c r="B8" s="31">
        <v>14.080785355656177</v>
      </c>
      <c r="C8" s="31">
        <v>13.26087596591281</v>
      </c>
      <c r="D8" s="31">
        <v>12.440966576169428</v>
      </c>
      <c r="E8" s="31">
        <v>11.621057186426084</v>
      </c>
      <c r="F8" s="31">
        <v>10.801147796682724</v>
      </c>
    </row>
    <row r="9" spans="1:6" x14ac:dyDescent="0.25">
      <c r="A9" s="30">
        <v>0.093398</v>
      </c>
      <c r="B9" s="31">
        <v>6.624416122827934</v>
      </c>
      <c r="C9" s="31">
        <v>5.932084616731963</v>
      </c>
      <c r="D9" s="31">
        <v>5.239753110635993</v>
      </c>
      <c r="E9" s="31">
        <v>4.547421604540037</v>
      </c>
      <c r="F9" s="31">
        <v>3.855090098444074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27412000000</v>
      </c>
      <c r="C5" s="18">
        <v>24753000000</v>
      </c>
      <c r="D5" s="18">
        <v>28114000000</v>
      </c>
      <c r="E5" s="18">
        <v>20956000000</v>
      </c>
      <c r="F5" s="6" t="s">
        <v>91</v>
      </c>
    </row>
    <row r="6" spans="1:6" x14ac:dyDescent="0.25">
      <c r="A6" t="s">
        <v>51</v>
      </c>
      <c r="B6" s="18">
        <v>8020000000</v>
      </c>
      <c r="C6" s="18">
        <v>7127000000</v>
      </c>
      <c r="D6" s="18">
        <v>9832000000</v>
      </c>
      <c r="E6" s="18">
        <v>3559000000</v>
      </c>
      <c r="F6" s="6" t="s">
        <v>92</v>
      </c>
    </row>
    <row r="7" spans="1:6" x14ac:dyDescent="0.25">
      <c r="A7" t="s">
        <v>93</v>
      </c>
      <c r="B7" s="18">
        <v>6941000000</v>
      </c>
      <c r="C7" s="18">
        <v>5761000000</v>
      </c>
      <c r="D7" s="18">
        <v>6151000000</v>
      </c>
      <c r="E7" s="18">
        <v>4790000000</v>
      </c>
      <c r="F7" s="6" t="s">
        <v>94</v>
      </c>
    </row>
    <row r="8" spans="1:6" x14ac:dyDescent="0.25">
      <c r="A8" t="s">
        <v>95</v>
      </c>
      <c r="B8" s="18">
        <v>9274000000</v>
      </c>
      <c r="C8" s="18">
        <v>8514000000</v>
      </c>
      <c r="D8" s="18">
        <v>9548000000</v>
      </c>
      <c r="E8" s="18">
        <v>9742000000</v>
      </c>
      <c r="F8" s="6" t="s">
        <v>96</v>
      </c>
    </row>
    <row r="9" spans="1:6" x14ac:dyDescent="0.25">
      <c r="A9" t="s">
        <v>97</v>
      </c>
      <c r="B9" s="18">
        <v>373000000</v>
      </c>
      <c r="C9" s="18">
        <v>-160000000</v>
      </c>
      <c r="D9" s="18">
        <v>1393000000</v>
      </c>
      <c r="E9" s="18">
        <v>-412000000</v>
      </c>
      <c r="F9" s="6" t="s">
        <v>98</v>
      </c>
    </row>
    <row r="10" spans="1:6" x14ac:dyDescent="0.25">
      <c r="A10" t="s">
        <v>99</v>
      </c>
      <c r="B10" s="18">
        <v>95619000000</v>
      </c>
      <c r="C10" s="18">
        <v>82333000000</v>
      </c>
      <c r="D10" s="18">
        <v>73211000000</v>
      </c>
      <c r="E10" s="18">
        <v>64966000000</v>
      </c>
      <c r="F10" s="6" t="s">
        <v>100</v>
      </c>
    </row>
    <row r="11" spans="1:6" x14ac:dyDescent="0.25">
      <c r="A11" t="s">
        <v>101</v>
      </c>
      <c r="B11" s="18">
        <v>2812000000</v>
      </c>
      <c r="C11" s="18">
        <v>1487000000</v>
      </c>
      <c r="D11" s="18">
        <v>2690000000</v>
      </c>
      <c r="E11" s="18">
        <v>1601000000</v>
      </c>
      <c r="F11" s="6" t="s">
        <v>102</v>
      </c>
    </row>
    <row r="12" spans="1:6" x14ac:dyDescent="0.25">
      <c r="A12" t="s">
        <v>34</v>
      </c>
      <c r="B12" s="34">
        <v>2083000000</v>
      </c>
      <c r="C12" s="34">
        <v>2059000000</v>
      </c>
      <c r="D12" s="34">
        <v>2031000000</v>
      </c>
      <c r="E12" s="34">
        <v>1987000000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