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<sst xmlns="http://schemas.openxmlformats.org/spreadsheetml/2006/main" count="119" uniqueCount="106">
  <si>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Newmont Corporation (NEM)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</si>
  <si>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</si>
  <si>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</si>
  <si>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</si>
  <si>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</si>
  <si>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</si>
  <si>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</si>
  <si>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</si>
  <si>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</si>
  <si>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</si>
  <si>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</si>
  <si>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</si>
  <si>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</si>
  <si>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</si>
  <si>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</si>
  <si>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</si>
  <si>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</si>
  <si>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</si>
  <si>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</si>
  <si>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</si>
  <si>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</si>
  <si>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</si>
  <si>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</si>
  <si>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</si>
  <si>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48.1x interest cover. Book interest / average debt was lower, at 3.1%.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</si>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</sst>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0.16352830252768102</v>
      </c>
    </row>
    <row r="7" spans="1:2" x14ac:dyDescent="0.25">
      <c r="A7" t="s">
        <v>4</v>
      </c>
      <c r="B7" s="5">
        <v>0.2493123132759383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0.15273518694682642</v>
      </c>
    </row>
    <row r="10" spans="1:3" x14ac:dyDescent="0.25">
      <c r="A10" t="s">
        <v>7</v>
      </c>
      <c r="B10" s="5">
        <v>0.18013413957970287</v>
      </c>
      <c r="C10" s="6" t="s">
        <v>8</v>
      </c>
    </row>
    <row r="11" spans="1:2" x14ac:dyDescent="0.25">
      <c r="A11" t="s">
        <v>9</v>
      </c>
      <c r="B11" s="5">
        <v>0.12899892614031824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7.984080538688718</v>
      </c>
    </row>
    <row r="14" spans="1:3" x14ac:dyDescent="0.25">
      <c r="A14" t="s">
        <v>12</v>
      </c>
      <c r="B14" s="5">
        <v>0.08622194272641903</v>
      </c>
      <c r="C14" s="6" t="s">
        <v>13</v>
      </c>
    </row>
    <row r="15" spans="1:3" x14ac:dyDescent="0.25">
      <c r="A15" t="s">
        <v>14</v>
      </c>
      <c r="B15" s="5">
        <v>0.15273518694682642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0.6851</v>
      </c>
      <c r="C19" s="6" t="s">
        <v>21</v>
      </c>
    </row>
    <row r="20" spans="1:2" x14ac:dyDescent="0.25">
      <c r="A20" t="s">
        <v>22</v>
      </c>
      <c r="B20" s="9">
        <f>B17+B19*B18</f>
        <v>0.07791973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110788386816</v>
      </c>
    </row>
    <row r="23" spans="1:2" x14ac:dyDescent="0.25">
      <c r="A23" t="s">
        <v>26</v>
      </c>
      <c r="B23" s="10">
        <v>5589000000</v>
      </c>
    </row>
    <row r="24" spans="1:2" x14ac:dyDescent="0.25">
      <c r="A24" t="s">
        <v>27</v>
      </c>
      <c r="B24" s="9">
        <f>B22/(B22+B23)</f>
        <v>0.9519752062414276</v>
      </c>
    </row>
    <row r="25" spans="1:2" x14ac:dyDescent="0.25">
      <c r="A25" t="s">
        <v>28</v>
      </c>
      <c r="B25" s="9">
        <f>1-B24</f>
        <v>0.04802479375857238</v>
      </c>
    </row>
    <row r="26" spans="1:2" x14ac:dyDescent="0.25">
      <c r="A26" t="s">
        <v>29</v>
      </c>
      <c r="B26" s="11">
        <f>B24*B20+B25*B21*(1-B8)</f>
        <v>0.07618617277647363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22669000000</v>
      </c>
      <c r="C29" s="6" t="s">
        <v>32</v>
      </c>
    </row>
    <row r="30" spans="1:2" x14ac:dyDescent="0.25">
      <c r="A30" t="s">
        <v>33</v>
      </c>
      <c r="B30" s="10">
        <v>-2652000000</v>
      </c>
    </row>
    <row r="31" spans="1:2" x14ac:dyDescent="0.25">
      <c r="A31" t="s">
        <v>34</v>
      </c>
      <c r="B31" s="12">
        <v>1108000000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0.16352830252768102</v>
      </c>
      <c r="C5" s="5">
        <v>0.05175857123500882</v>
      </c>
      <c r="D5" s="5">
        <v>0.04841374983063272</v>
      </c>
      <c r="E5" s="5">
        <v>0.045068928426256614</v>
      </c>
      <c r="F5" s="5">
        <v>0.041724107021880515</v>
      </c>
      <c r="G5" s="5">
        <v>0.03837928561750441</v>
      </c>
      <c r="H5" s="5">
        <v>0.03503446421312831</v>
      </c>
      <c r="I5" s="5">
        <v>0.03168964280875221</v>
      </c>
      <c r="J5" s="5">
        <v>0.028344821404376105</v>
      </c>
      <c r="K5" s="5">
        <v>0.025</v>
      </c>
    </row>
    <row r="6" spans="1:11" x14ac:dyDescent="0.25">
      <c r="A6" t="s">
        <v>50</v>
      </c>
      <c r="B6" s="18">
        <f>Assumptions!B29*(1+B5)</f>
        <v>26376023090</v>
      </c>
      <c r="C6" s="18">
        <f>B6*(1+C5)</f>
        <v>27741208360.000004</v>
      </c>
      <c r="D6" s="18">
        <f>C6*(1+D5)</f>
        <v>29084264281.5405</v>
      </c>
      <c r="E6" s="18">
        <f>D6*(1+E5)</f>
        <v>30395060906.77558</v>
      </c>
      <c r="F6" s="18">
        <f>E6*(1+F5)</f>
        <v>31663267680.986465</v>
      </c>
      <c r="G6" s="18">
        <f>F6*(1+G5)</f>
        <v>32878481274.898544</v>
      </c>
      <c r="H6" s="18">
        <f>G6*(1+H5)</f>
        <v>34030361250.50599</v>
      </c>
      <c r="I6" s="18">
        <f>H6*(1+I5)</f>
        <v>35108771243.18733</v>
      </c>
      <c r="J6" s="18">
        <f>I6*(1+J5)</f>
        <v>36103923093.80257</v>
      </c>
      <c r="K6" s="18">
        <f>J6*(1+K5)</f>
        <v>37006521171.14763</v>
      </c>
    </row>
    <row r="7" spans="1:11" x14ac:dyDescent="0.25">
      <c r="A7" t="s">
        <v>4</v>
      </c>
      <c r="B7" s="9">
        <f>Assumptions!B7</f>
        <v>0.2493123132759383</v>
      </c>
      <c r="C7" s="9">
        <f>Assumptions!B7</f>
        <v>0.2493123132759383</v>
      </c>
      <c r="D7" s="9">
        <f>Assumptions!B7</f>
        <v>0.2493123132759383</v>
      </c>
      <c r="E7" s="9">
        <f>Assumptions!B7</f>
        <v>0.2493123132759383</v>
      </c>
      <c r="F7" s="9">
        <f>Assumptions!B7</f>
        <v>0.2493123132759383</v>
      </c>
      <c r="G7" s="9">
        <f>Assumptions!B7</f>
        <v>0.2493123132759383</v>
      </c>
      <c r="H7" s="9">
        <f>Assumptions!B7</f>
        <v>0.2493123132759383</v>
      </c>
      <c r="I7" s="9">
        <f>Assumptions!B7</f>
        <v>0.2493123132759383</v>
      </c>
      <c r="J7" s="9">
        <f>Assumptions!B7</f>
        <v>0.2493123132759383</v>
      </c>
      <c r="K7" s="9">
        <f>Assumptions!B7</f>
        <v>0.2493123132759383</v>
      </c>
    </row>
    <row r="8" spans="1:11" x14ac:dyDescent="0.25">
      <c r="A8" t="s">
        <v>51</v>
      </c>
      <c r="B8" s="18">
        <f>B6*B7</f>
        <v>6575867331.587462</v>
      </c>
      <c r="C8" s="18">
        <f>C6*C7</f>
        <v>6916224829.3014</v>
      </c>
      <c r="D8" s="18">
        <f>D6*D7</f>
        <v>7251065207.959608</v>
      </c>
      <c r="E8" s="18">
        <f>E6*E7</f>
        <v>7577862946.831259</v>
      </c>
      <c r="F8" s="18">
        <f>F6*F7</f>
        <v>7894042511.42199</v>
      </c>
      <c r="G8" s="18">
        <f>G6*G7</f>
        <v>8197010223.644577</v>
      </c>
      <c r="H8" s="18">
        <f>H6*H7</f>
        <v>8484188084.979501</v>
      </c>
      <c r="I8" s="18">
        <f>I6*I7</f>
        <v>8753048974.914774</v>
      </c>
      <c r="J8" s="18">
        <f>J6*J7</f>
        <v>9001152584.85249</v>
      </c>
      <c r="K8" s="18">
        <f>K6*K7</f>
        <v>9226181399.4738</v>
      </c>
    </row>
    <row r="9" spans="1:11" x14ac:dyDescent="0.25">
      <c r="A9" t="s">
        <v>52</v>
      </c>
      <c r="B9" s="18">
        <f>B8*(1-Assumptions!B8)</f>
        <v>5194935191.954096</v>
      </c>
      <c r="C9" s="18">
        <f>C8*(1-Assumptions!B8)</f>
        <v>5463817615.148107</v>
      </c>
      <c r="D9" s="18">
        <f>D8*(1-Assumptions!B8)</f>
        <v>5728341514.288091</v>
      </c>
      <c r="E9" s="18">
        <f>E8*(1-Assumptions!B8)</f>
        <v>5986511727.996695</v>
      </c>
      <c r="F9" s="18">
        <f>F8*(1-Assumptions!B8)</f>
        <v>6236293584.023373</v>
      </c>
      <c r="G9" s="18">
        <f>G8*(1-Assumptions!B8)</f>
        <v>6475638076.679216</v>
      </c>
      <c r="H9" s="18">
        <f>H8*(1-Assumptions!B8)</f>
        <v>6702508587.133806</v>
      </c>
      <c r="I9" s="18">
        <f>I8*(1-Assumptions!B8)</f>
        <v>6914908690.182672</v>
      </c>
      <c r="J9" s="18">
        <f>J8*(1-Assumptions!B8)</f>
        <v>7110910542.033467</v>
      </c>
      <c r="K9" s="18">
        <f>K8*(1-Assumptions!B8)</f>
        <v>7288683305.584303</v>
      </c>
    </row>
    <row r="10" spans="1:11" x14ac:dyDescent="0.25">
      <c r="A10" t="s">
        <v>53</v>
      </c>
      <c r="B10" s="18">
        <f>B6*Assumptions!B9</f>
        <v>4028546817.56496</v>
      </c>
      <c r="C10" s="18">
        <f>C6*Assumptions!B9</f>
        <v>4237058644.9954643</v>
      </c>
      <c r="D10" s="18">
        <f>D6*Assumptions!B9</f>
        <v>4442190542.251994</v>
      </c>
      <c r="E10" s="18">
        <f>E6*Assumptions!B9</f>
        <v>4642395309.856544</v>
      </c>
      <c r="F10" s="18">
        <f>F6*Assumptions!B9</f>
        <v>4836095108.602875</v>
      </c>
      <c r="G10" s="18">
        <f>G6*Assumptions!B9</f>
        <v>5021700984.049361</v>
      </c>
      <c r="H10" s="18">
        <f>H6*Assumptions!B9</f>
        <v>5197633587.46407</v>
      </c>
      <c r="I10" s="18">
        <f>I6*Assumptions!B9</f>
        <v>5362344739.30158</v>
      </c>
      <c r="J10" s="18">
        <f>J6*Assumptions!B9</f>
        <v>5514339443.245779</v>
      </c>
      <c r="K10" s="18">
        <f>K6*Assumptions!B9</f>
        <v>5652197929.326922</v>
      </c>
    </row>
    <row r="11" spans="1:11" x14ac:dyDescent="0.25">
      <c r="A11" t="s">
        <v>54</v>
      </c>
      <c r="B11" s="18">
        <f>-B6*B19</f>
        <v>-4751222224.851525</v>
      </c>
      <c r="C11" s="18">
        <f>-C6*C19</f>
        <v>-5088710982.149603</v>
      </c>
      <c r="D11" s="18">
        <f>-D6*D19</f>
        <v>-5431080203.53559</v>
      </c>
      <c r="E11" s="18">
        <f>-E6*E19</f>
        <v>-5776185680.801652</v>
      </c>
      <c r="F11" s="18">
        <f>-F6*F19</f>
        <v>-6121710667.102129</v>
      </c>
      <c r="G11" s="18">
        <f>-G6*G19</f>
        <v>-6465187702.792901</v>
      </c>
      <c r="H11" s="18">
        <f>-H6*H19</f>
        <v>-6804024539.3077965</v>
      </c>
      <c r="I11" s="18">
        <f>-I6*I19</f>
        <v>-7135533871.125161</v>
      </c>
      <c r="J11" s="18">
        <f>-J6*J19</f>
        <v>-7456966473.237534</v>
      </c>
      <c r="K11" s="18">
        <f>-K6*K19</f>
        <v>-7765547233.201689</v>
      </c>
    </row>
    <row r="12" spans="1:11" x14ac:dyDescent="0.25">
      <c r="A12" t="s">
        <v>55</v>
      </c>
      <c r="B12" s="18">
        <f>-(B6-Assumptions!B29)*Assumptions!B11</f>
        <v>-478201997.7873643</v>
      </c>
      <c r="C12" s="18">
        <f>-(C6-B6)*Assumptions!B11</f>
        <v>-176107433.8125809</v>
      </c>
      <c r="D12" s="18">
        <f>-(D6-C6)*Assumptions!B11</f>
        <v>-173252771.6251196</v>
      </c>
      <c r="E12" s="18">
        <f>-(E6-D6)*Assumptions!B11</f>
        <v>-169091357.04367858</v>
      </c>
      <c r="F12" s="18">
        <f>-(F6-E6)*Assumptions!B11</f>
        <v>-163597311.9970811</v>
      </c>
      <c r="G12" s="18">
        <f>-(G6-F6)*Assumptions!B11</f>
        <v>-156761248.64577496</v>
      </c>
      <c r="H12" s="18">
        <f>-(H6-G6)*Assumptions!B11</f>
        <v>-148591279.89589635</v>
      </c>
      <c r="I12" s="18">
        <f>-(I6-H6)*Assumptions!B11</f>
        <v>-139113730.99488172</v>
      </c>
      <c r="J12" s="18">
        <f>-(J6-I6)*Assumptions!B11</f>
        <v>-128373520.07591563</v>
      </c>
      <c r="K12" s="18">
        <f>-(K6-J6)*Assumptions!B11</f>
        <v>-116434182.71382894</v>
      </c>
    </row>
    <row r="13" spans="1:11" x14ac:dyDescent="0.25">
      <c r="A13" s="19" t="s">
        <v>56</v>
      </c>
      <c r="B13" s="20">
        <f>B9+B10+B11+B12</f>
        <v>3994057786.8801665</v>
      </c>
      <c r="C13" s="20">
        <f>C9+C10+C11+C12</f>
        <v>4436057844.181386</v>
      </c>
      <c r="D13" s="20">
        <f>D9+D10+D11+D12</f>
        <v>4566199081.379375</v>
      </c>
      <c r="E13" s="20">
        <f>E9+E10+E11+E12</f>
        <v>4683630000.007907</v>
      </c>
      <c r="F13" s="20">
        <f>F9+F10+F11+F12</f>
        <v>4787080713.527038</v>
      </c>
      <c r="G13" s="20">
        <f>G9+G10+G11+G12</f>
        <v>4875390109.289901</v>
      </c>
      <c r="H13" s="20">
        <f>H9+H10+H11+H12</f>
        <v>4947526355.394185</v>
      </c>
      <c r="I13" s="20">
        <f>I9+I10+I11+I12</f>
        <v>5002605827.36421</v>
      </c>
      <c r="J13" s="20">
        <f>J9+J10+J11+J12</f>
        <v>5039909991.965798</v>
      </c>
      <c r="K13" s="20">
        <f>K9+K10+K11+K12</f>
        <v>5058899818.995707</v>
      </c>
    </row>
    <row r="14" spans="1:11" x14ac:dyDescent="0.25">
      <c r="A14" t="s">
        <v>57</v>
      </c>
      <c r="B14" s="21">
        <f>1/(1+Assumptions!$B$26)^(1-0.5*Assumptions!$B$32)</f>
        <v>0.9639539695899495</v>
      </c>
      <c r="C14" s="21">
        <f>1/(1+Assumptions!$B$26)^(2-0.5*Assumptions!$B$32)</f>
        <v>0.8957130224996536</v>
      </c>
      <c r="D14" s="21">
        <f>1/(1+Assumptions!$B$26)^(3-0.5*Assumptions!$B$32)</f>
        <v>0.8323030393419626</v>
      </c>
      <c r="E14" s="21">
        <f>1/(1+Assumptions!$B$26)^(4-0.5*Assumptions!$B$32)</f>
        <v>0.7733820229214503</v>
      </c>
      <c r="F14" s="21">
        <f>1/(1+Assumptions!$B$26)^(5-0.5*Assumptions!$B$32)</f>
        <v>0.7186321869627696</v>
      </c>
      <c r="G14" s="21">
        <f>1/(1+Assumptions!$B$26)^(6-0.5*Assumptions!$B$32)</f>
        <v>0.6677582421531736</v>
      </c>
      <c r="H14" s="21">
        <f>1/(1+Assumptions!$B$26)^(7-0.5*Assumptions!$B$32)</f>
        <v>0.6204858035207896</v>
      </c>
      <c r="I14" s="21">
        <f>1/(1+Assumptions!$B$26)^(8-0.5*Assumptions!$B$32)</f>
        <v>0.5765599105589567</v>
      </c>
      <c r="J14" s="21">
        <f>1/(1+Assumptions!$B$26)^(9-0.5*Assumptions!$B$32)</f>
        <v>0.5357436521150226</v>
      </c>
      <c r="K14" s="21">
        <f>1/(1+Assumptions!$B$26)^(10-0.5*Assumptions!$B$32)</f>
        <v>0.4978168886270367</v>
      </c>
    </row>
    <row r="15" spans="1:11" x14ac:dyDescent="0.25">
      <c r="A15" s="19" t="s">
        <v>58</v>
      </c>
      <c r="B15" s="20">
        <f>B13*B14</f>
        <v>3850087858.434785</v>
      </c>
      <c r="C15" s="20">
        <f>C13*C14</f>
        <v>3973434779.5950065</v>
      </c>
      <c r="D15" s="20">
        <f>D13*D14</f>
        <v>3800461373.6725316</v>
      </c>
      <c r="E15" s="20">
        <f>E13*E14</f>
        <v>3622235244.0217075</v>
      </c>
      <c r="F15" s="20">
        <f>F13*F14</f>
        <v>3440150282.329231</v>
      </c>
      <c r="G15" s="20">
        <f>G13*G14</f>
        <v>3255581929.190393</v>
      </c>
      <c r="H15" s="20">
        <f>H13*H14</f>
        <v>3069869866.0670447</v>
      </c>
      <c r="I15" s="20">
        <f>I13*I14</f>
        <v>2884301968.3868246</v>
      </c>
      <c r="J15" s="20">
        <f>J13*J14</f>
        <v>2700099785.426751</v>
      </c>
      <c r="K15" s="20">
        <f>K13*K14</f>
        <v>2518405767.768322</v>
      </c>
    </row>
    <row r="17" spans="1:2" x14ac:dyDescent="0.25">
      <c r="A17" s="22" t="s">
        <v>59</v>
      </c>
      <c r="B17" s="23">
        <f>SUM(B15:K15)</f>
        <v>33114628854.892593</v>
      </c>
    </row>
    <row r="19" spans="1:11" x14ac:dyDescent="0.25">
      <c r="A19" t="s">
        <v>7</v>
      </c>
      <c r="B19" s="9">
        <f>Assumptions!$B$10+($B$20-Assumptions!$B$10)*0/9</f>
        <v>0.18013413957970287</v>
      </c>
      <c r="C19" s="9">
        <f>Assumptions!$B$10+($B$20-Assumptions!$B$10)*1/9</f>
        <v>0.18343508747394743</v>
      </c>
      <c r="D19" s="9">
        <f>Assumptions!$B$10+($B$20-Assumptions!$B$10)*2/9</f>
        <v>0.186736035368192</v>
      </c>
      <c r="E19" s="9">
        <f>Assumptions!$B$10+($B$20-Assumptions!$B$10)*3/9</f>
        <v>0.1900369832624366</v>
      </c>
      <c r="F19" s="9">
        <f>Assumptions!$B$10+($B$20-Assumptions!$B$10)*4/9</f>
        <v>0.19333793115668116</v>
      </c>
      <c r="G19" s="9">
        <f>Assumptions!$B$10+($B$20-Assumptions!$B$10)*5/9</f>
        <v>0.19663887905092572</v>
      </c>
      <c r="H19" s="9">
        <f>Assumptions!$B$10+($B$20-Assumptions!$B$10)*6/9</f>
        <v>0.1999398269451703</v>
      </c>
      <c r="I19" s="9">
        <f>Assumptions!$B$10+($B$20-Assumptions!$B$10)*7/9</f>
        <v>0.20324077483941488</v>
      </c>
      <c r="J19" s="9">
        <f>Assumptions!$B$10+($B$20-Assumptions!$B$10)*8/9</f>
        <v>0.20654172273365945</v>
      </c>
      <c r="K19" s="9">
        <f>Assumptions!$B$10+($B$20-Assumptions!$B$10)*9/9</f>
        <v>0.20984267062790402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0.20984267062790402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5058899818.995707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7288683305.584303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0.2899493935009634</v>
      </c>
    </row>
    <row r="7" spans="1:2" x14ac:dyDescent="0.25">
      <c r="A7" t="s">
        <v>66</v>
      </c>
      <c r="B7" s="18">
        <f>-MAX(B5,0)*B6</f>
        <v>-2113349303.8747656</v>
      </c>
    </row>
    <row r="8" spans="1:2" x14ac:dyDescent="0.25">
      <c r="A8" t="s">
        <v>67</v>
      </c>
      <c r="B8" s="18">
        <f>IF(OR(Assumptions!$B$33=0,Assumptions!B12&lt;=0),B5,MAX(B5+B7,0))</f>
        <v>5175334001.7095375</v>
      </c>
    </row>
    <row r="9" spans="1:2" x14ac:dyDescent="0.25">
      <c r="A9" t="s">
        <v>68</v>
      </c>
      <c r="B9" s="18">
        <f>B8*(1+Assumptions!B12)/(Assumptions!B26-Assumptions!B12)</f>
        <v>103635748953.48395</v>
      </c>
    </row>
    <row r="10" spans="1:2" x14ac:dyDescent="0.25">
      <c r="A10" t="s">
        <v>69</v>
      </c>
      <c r="B10" s="18">
        <f>B9/(1+Assumptions!B26)^(10-0.5*Assumptions!B32)</f>
        <v>51591626094.55605</v>
      </c>
    </row>
    <row r="11" spans="1:2" x14ac:dyDescent="0.25">
      <c r="A11" t="s">
        <v>70</v>
      </c>
      <c r="B11" s="18">
        <f>Forecast!B17+B10</f>
        <v>84706254949.44864</v>
      </c>
    </row>
    <row r="12" spans="1:2" x14ac:dyDescent="0.25">
      <c r="A12" t="s">
        <v>71</v>
      </c>
      <c r="B12" s="18">
        <f>-Assumptions!B30</f>
        <v>2652000000</v>
      </c>
    </row>
    <row r="13" spans="1:2" x14ac:dyDescent="0.25">
      <c r="A13" t="s">
        <v>72</v>
      </c>
      <c r="B13" s="18">
        <f>B11+B12</f>
        <v>87358254949.44864</v>
      </c>
    </row>
    <row r="14" spans="1:2" x14ac:dyDescent="0.25">
      <c r="A14" s="19" t="s">
        <v>73</v>
      </c>
      <c r="B14" s="24">
        <f>B13/Assumptions!B31</f>
        <v>78.84319038758902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14878379328.800724</v>
      </c>
    </row>
    <row r="18" spans="1:2" x14ac:dyDescent="0.25">
      <c r="A18" t="s">
        <v>68</v>
      </c>
      <c r="B18" s="18">
        <f>B17*Assumptions!B13</f>
        <v>118790178846.30637</v>
      </c>
    </row>
    <row r="19" spans="1:2" x14ac:dyDescent="0.25">
      <c r="A19" t="s">
        <v>69</v>
      </c>
      <c r="B19" s="18">
        <f>B18/(1+Assumptions!B26)^(10-0.5*Assumptions!B32)</f>
        <v>59135757232.71747</v>
      </c>
    </row>
    <row r="20" spans="1:2" x14ac:dyDescent="0.25">
      <c r="A20" t="s">
        <v>70</v>
      </c>
      <c r="B20" s="18">
        <f>Forecast!B17+B19</f>
        <v>92250386087.61006</v>
      </c>
    </row>
    <row r="21" spans="1:2" x14ac:dyDescent="0.25">
      <c r="A21" t="s">
        <v>71</v>
      </c>
      <c r="B21" s="18">
        <f>-Assumptions!B30</f>
        <v>2652000000</v>
      </c>
    </row>
    <row r="22" spans="1:2" x14ac:dyDescent="0.25">
      <c r="A22" t="s">
        <v>72</v>
      </c>
      <c r="B22" s="18">
        <f>B20+B21</f>
        <v>94902386087.61006</v>
      </c>
    </row>
    <row r="23" spans="1:2" x14ac:dyDescent="0.25">
      <c r="A23" s="19" t="s">
        <v>73</v>
      </c>
      <c r="B23" s="25">
        <f>B22/Assumptions!B31</f>
        <v>85.65197300325818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106.61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78.84319038758902</v>
      </c>
    </row>
    <row r="29" spans="1:2" x14ac:dyDescent="0.25">
      <c r="A29" s="19" t="s">
        <v>81</v>
      </c>
      <c r="B29" s="11">
        <f>B28/B26-1</f>
        <v>-0.26045220535044533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0.056186</v>
      </c>
      <c r="B5" s="31">
        <v>117.10479924045976</v>
      </c>
      <c r="C5" s="31">
        <v>120.95053057481798</v>
      </c>
      <c r="D5" s="31">
        <v>126.34529060802251</v>
      </c>
      <c r="E5" s="31">
        <v>134.17640197364466</v>
      </c>
      <c r="F5" s="31">
        <v>146.1688372944666</v>
      </c>
    </row>
    <row r="6" spans="1:6" x14ac:dyDescent="0.25">
      <c r="A6" s="30">
        <v>0.066186</v>
      </c>
      <c r="B6" s="31">
        <v>94.4892818169928</v>
      </c>
      <c r="C6" s="31">
        <v>95.43413428890526</v>
      </c>
      <c r="D6" s="31">
        <v>96.83426810114608</v>
      </c>
      <c r="E6" s="31">
        <v>98.87840873055512</v>
      </c>
      <c r="F6" s="31">
        <v>101.87631383305244</v>
      </c>
    </row>
    <row r="7" spans="1:6" x14ac:dyDescent="0.25">
      <c r="A7" s="30">
        <v>0.076186</v>
      </c>
      <c r="B7" s="31">
        <v>79.29223081716125</v>
      </c>
      <c r="C7" s="31">
        <v>79.0095561836173</v>
      </c>
      <c r="D7" s="32">
        <v>78.84344058731939</v>
      </c>
      <c r="E7" s="31">
        <v>78.83173934283667</v>
      </c>
      <c r="F7" s="31">
        <v>79.0306903775529</v>
      </c>
    </row>
    <row r="8" spans="1:6" x14ac:dyDescent="0.25">
      <c r="A8" s="30">
        <v>0.086186</v>
      </c>
      <c r="B8" s="31">
        <v>68.38543157668353</v>
      </c>
      <c r="C8" s="31">
        <v>67.55504061244403</v>
      </c>
      <c r="D8" s="31">
        <v>66.7248851932877</v>
      </c>
      <c r="E8" s="31">
        <v>65.89502820278432</v>
      </c>
      <c r="F8" s="31">
        <v>65.06555709511647</v>
      </c>
    </row>
    <row r="9" spans="1:6" x14ac:dyDescent="0.25">
      <c r="A9" s="30">
        <v>0.096186</v>
      </c>
      <c r="B9" s="31">
        <v>61.09582011800283</v>
      </c>
      <c r="C9" s="31">
        <v>60.38980683516247</v>
      </c>
      <c r="D9" s="31">
        <v>59.6837935523221</v>
      </c>
      <c r="E9" s="31">
        <v>58.97778026948174</v>
      </c>
      <c r="F9" s="31">
        <v>58.271766986641374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22669000000</v>
      </c>
      <c r="C5" s="18">
        <v>18682000000</v>
      </c>
      <c r="D5" s="18">
        <v>11812000000</v>
      </c>
      <c r="E5" s="18">
        <v>11915000000</v>
      </c>
      <c r="F5" s="6" t="s">
        <v>91</v>
      </c>
    </row>
    <row r="6" spans="1:6" x14ac:dyDescent="0.25">
      <c r="A6" t="s">
        <v>51</v>
      </c>
      <c r="B6" s="18">
        <v>11023000000</v>
      </c>
      <c r="C6" s="18">
        <v>5910000000</v>
      </c>
      <c r="D6" s="18">
        <v>708000000</v>
      </c>
      <c r="E6" s="18">
        <v>1605000000</v>
      </c>
      <c r="F6" s="6" t="s">
        <v>92</v>
      </c>
    </row>
    <row r="7" spans="1:6" x14ac:dyDescent="0.25">
      <c r="A7" t="s">
        <v>93</v>
      </c>
      <c r="B7" s="18">
        <v>2521000000</v>
      </c>
      <c r="C7" s="18">
        <v>2576000000</v>
      </c>
      <c r="D7" s="18">
        <v>2108000000</v>
      </c>
      <c r="E7" s="18">
        <v>2185000000</v>
      </c>
      <c r="F7" s="6" t="s">
        <v>94</v>
      </c>
    </row>
    <row r="8" spans="1:6" x14ac:dyDescent="0.25">
      <c r="A8" t="s">
        <v>95</v>
      </c>
      <c r="B8" s="18">
        <v>3035000000</v>
      </c>
      <c r="C8" s="18">
        <v>3402000000</v>
      </c>
      <c r="D8" s="18">
        <v>2666000000</v>
      </c>
      <c r="E8" s="18">
        <v>2131000000</v>
      </c>
      <c r="F8" s="6" t="s">
        <v>96</v>
      </c>
    </row>
    <row r="9" spans="1:6" x14ac:dyDescent="0.25">
      <c r="A9" t="s">
        <v>97</v>
      </c>
      <c r="B9" s="18">
        <v>210000000</v>
      </c>
      <c r="C9" s="18">
        <v>1025000000</v>
      </c>
      <c r="D9" s="18">
        <v>513000000</v>
      </c>
      <c r="E9" s="18">
        <v>841000000</v>
      </c>
      <c r="F9" s="6" t="s">
        <v>98</v>
      </c>
    </row>
    <row r="10" spans="1:6" x14ac:dyDescent="0.25">
      <c r="A10" t="s">
        <v>99</v>
      </c>
      <c r="B10" s="18">
        <v>5589000000</v>
      </c>
      <c r="C10" s="18">
        <v>8972000000</v>
      </c>
      <c r="D10" s="18">
        <v>9436000000</v>
      </c>
      <c r="E10" s="18">
        <v>6132000000</v>
      </c>
      <c r="F10" s="6" t="s">
        <v>100</v>
      </c>
    </row>
    <row r="11" spans="1:6" x14ac:dyDescent="0.25">
      <c r="A11" t="s">
        <v>101</v>
      </c>
      <c r="B11" s="18">
        <v>8241000000</v>
      </c>
      <c r="C11" s="18">
        <v>3640000000</v>
      </c>
      <c r="D11" s="18">
        <v>3025000000</v>
      </c>
      <c r="E11" s="18">
        <v>3757000000</v>
      </c>
      <c r="F11" s="6" t="s">
        <v>102</v>
      </c>
    </row>
    <row r="12" spans="1:6" x14ac:dyDescent="0.25">
      <c r="A12" t="s">
        <v>34</v>
      </c>
      <c r="B12" s="34">
        <v>1108000000</v>
      </c>
      <c r="C12" s="34">
        <v>1148000000</v>
      </c>
      <c r="D12" s="34">
        <v>841000000</v>
      </c>
      <c r="E12" s="34">
        <v>795000000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