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<sst xmlns="http://schemas.openxmlformats.org/spreadsheetml/2006/main" count="112" uniqueCount="100">
  <si>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Newmont Corporation (NEM.AX)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</si>
  <si>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</si>
  <si>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</si>
  <si>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</si>
  <si>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</si>
  <si>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</si>
  <si>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</si>
  <si>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</si>
  <si>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</si>
  <si>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</si>
  <si>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</si>
  <si>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</si>
  <si>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</si>
  <si>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</si>
  <si>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</si>
  <si>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</si>
  <si>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</si>
  <si>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</si>
  <si>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</si>
  <si>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</si>
  <si>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</si>
  <si>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</si>
  <si>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</si>
  <si>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</si>
  <si>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</si>
  <si>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</si>
  <si>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</si>
  <si>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</si>
  <si>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</si>
  <si>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</si>
  <si>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</si>
  <si>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</si>
  <si>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</si>
  <si>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</si>
  <si>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</si>
  <si>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</si>
  <si>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</si>
  <si>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</si>
  <si>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</si>
  <si>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</si>
  <si>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</si>
  <si>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</si>
  <si>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</si>
  <si>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</si>
  <si>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</si>
  <si>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</si>
  <si>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</si>
  <si>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</si>
  <si>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</si>
  <si>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</si>
  <si>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</si>
  <si>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</si>
  <si>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</si>
  <si>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</si>
  <si>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</si>
  <si>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</si>
  <si>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</si>
  <si>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</si>
  <si>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</si>
  <si>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</si>
  <si>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</si>
  <si>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</si>
  <si>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</si>
  <si>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</si>
  <si>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</si>
  <si>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</si>
  <si>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</si>
  <si>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</si>
  <si>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</si>
  <si>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</si>
  <si>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</si>
  <si>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</si>
  <si>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</si>
  <si>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</si>
  <si>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</si>
  <si>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</si>
  <si>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</si>
  <si>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</si>
  <si>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</si>
  <si>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</si>
  <si>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</si>
  <si>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</si>
  <si>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</si>
  <si>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</si>
  <si>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</si>
  <si>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</si>
  <si>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</si>
  <si>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</si>
  <si>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</si>
  <si>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</si>
  <si>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</si>
  <si>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</si>
  <si>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</si>
  <si>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</si>
  <si>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</si>
  <si>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</si>
  <si>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</si>
  <si>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</si>
  <si>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AUD. Modelled in USD, converted at the end.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</si>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</sst>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0.23911830284606483</v>
      </c>
    </row>
    <row r="7" spans="1:2" x14ac:dyDescent="0.25">
      <c r="A7" t="s">
        <v>5</v>
      </c>
      <c r="B7" s="6">
        <v>0.2493123132759383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0.15273518694682642</v>
      </c>
    </row>
    <row r="10" spans="1:2" x14ac:dyDescent="0.25">
      <c r="A10" t="s">
        <v>8</v>
      </c>
      <c r="B10" s="6">
        <v>0.18013413957970287</v>
      </c>
    </row>
    <row r="11" spans="1:2" x14ac:dyDescent="0.25">
      <c r="A11" t="s">
        <v>9</v>
      </c>
      <c r="B11" s="6">
        <v>0.0526711813393529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13.486477703484939</v>
      </c>
    </row>
    <row r="14" spans="1:3" x14ac:dyDescent="0.25">
      <c r="A14" t="s">
        <v>12</v>
      </c>
      <c r="B14" s="6">
        <v>0.09342012943452827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0.69381</v>
      </c>
      <c r="C19" s="8" t="s">
        <v>19</v>
      </c>
    </row>
    <row r="20" spans="1:2" x14ac:dyDescent="0.25">
      <c r="A20" t="s">
        <v>20</v>
      </c>
      <c r="B20" s="10">
        <f>B17+B19*B18</f>
        <v>0.0951086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185312854016</v>
      </c>
    </row>
    <row r="23" spans="1:2" x14ac:dyDescent="0.25">
      <c r="A23" t="s">
        <v>24</v>
      </c>
      <c r="B23" s="11">
        <v>5589000000</v>
      </c>
    </row>
    <row r="24" spans="1:2" x14ac:dyDescent="0.25">
      <c r="A24" t="s">
        <v>25</v>
      </c>
      <c r="B24" s="10">
        <f>B22/(B22+B23)</f>
        <v>0.9707231759020446</v>
      </c>
    </row>
    <row r="25" spans="1:2" x14ac:dyDescent="0.25">
      <c r="A25" t="s">
        <v>26</v>
      </c>
      <c r="B25" s="10">
        <f>1-B24</f>
        <v>0.0292768240979554</v>
      </c>
    </row>
    <row r="26" spans="1:2" x14ac:dyDescent="0.25">
      <c r="A26" t="s">
        <v>27</v>
      </c>
      <c r="B26" s="12">
        <f>B24*B20+B25*B21*(1-B8)</f>
        <v>0.09342012943452827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22669000000</v>
      </c>
      <c r="C29" s="8" t="s">
        <v>30</v>
      </c>
    </row>
    <row r="30" spans="1:2" x14ac:dyDescent="0.25">
      <c r="A30" t="s">
        <v>31</v>
      </c>
      <c r="B30" s="11">
        <v>-2652000000</v>
      </c>
    </row>
    <row r="31" spans="1:2" x14ac:dyDescent="0.25">
      <c r="A31" t="s">
        <v>32</v>
      </c>
      <c r="B31" s="13">
        <v>1108000000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0.23911830284606483</v>
      </c>
      <c r="C5" s="10">
        <f>Assumptions!B6</f>
        <v>0.23911830284606483</v>
      </c>
      <c r="D5" s="10">
        <f>Assumptions!B6</f>
        <v>0.23911830284606483</v>
      </c>
      <c r="E5" s="10">
        <f>Assumptions!B6</f>
        <v>0.23911830284606483</v>
      </c>
      <c r="F5" s="10">
        <f>Assumptions!B6</f>
        <v>0.23911830284606483</v>
      </c>
    </row>
    <row r="6" spans="1:6" x14ac:dyDescent="0.25">
      <c r="A6" t="s">
        <v>43</v>
      </c>
      <c r="B6" s="18">
        <f>Assumptions!B29*(1+B5)</f>
        <v>28089572807.217445</v>
      </c>
      <c r="C6" s="18">
        <f>B6*(1+C5)</f>
        <v>34806303784.550255</v>
      </c>
      <c r="D6" s="18">
        <f>C6*(1+D5)</f>
        <v>43129128073.856476</v>
      </c>
      <c r="E6" s="18">
        <f>D6*(1+E5)</f>
        <v>53442091982.107605</v>
      </c>
      <c r="F6" s="18">
        <f>E6*(1+F5)</f>
        <v>66221074317.41247</v>
      </c>
    </row>
    <row r="7" spans="1:6" x14ac:dyDescent="0.25">
      <c r="A7" t="s">
        <v>5</v>
      </c>
      <c r="B7" s="10">
        <f>Assumptions!B7</f>
        <v>0.2493123132759383</v>
      </c>
      <c r="C7" s="10">
        <f>Assumptions!B7</f>
        <v>0.2493123132759383</v>
      </c>
      <c r="D7" s="10">
        <f>Assumptions!B7</f>
        <v>0.2493123132759383</v>
      </c>
      <c r="E7" s="10">
        <f>Assumptions!B7</f>
        <v>0.2493123132759383</v>
      </c>
      <c r="F7" s="10">
        <f>Assumptions!B7</f>
        <v>0.2493123132759383</v>
      </c>
    </row>
    <row r="8" spans="1:6" x14ac:dyDescent="0.25">
      <c r="A8" t="s">
        <v>44</v>
      </c>
      <c r="B8" s="18">
        <f>B6*B7</f>
        <v>7003076375.500274</v>
      </c>
      <c r="C8" s="18">
        <f>C6*C7</f>
        <v>8677640113.11127</v>
      </c>
      <c r="D8" s="18">
        <f>D6*D7</f>
        <v>10752622689.667372</v>
      </c>
      <c r="E8" s="18">
        <f>E6*E7</f>
        <v>13323771578.364721</v>
      </c>
      <c r="F8" s="18">
        <f>F6*F7</f>
        <v>16509729225.691929</v>
      </c>
    </row>
    <row r="9" spans="1:6" x14ac:dyDescent="0.25">
      <c r="A9" t="s">
        <v>45</v>
      </c>
      <c r="B9" s="18">
        <f>B8*(1-Assumptions!B8)</f>
        <v>4902153462.850191</v>
      </c>
      <c r="C9" s="18">
        <f>C8*(1-Assumptions!B8)</f>
        <v>6074348079.177889</v>
      </c>
      <c r="D9" s="18">
        <f>D8*(1-Assumptions!B8)</f>
        <v>7526835882.767159</v>
      </c>
      <c r="E9" s="18">
        <f>E8*(1-Assumptions!B8)</f>
        <v>9326640104.855305</v>
      </c>
      <c r="F9" s="18">
        <f>F8*(1-Assumptions!B8)</f>
        <v>11556810457.98435</v>
      </c>
    </row>
    <row r="10" spans="1:6" x14ac:dyDescent="0.25">
      <c r="A10" t="s">
        <v>46</v>
      </c>
      <c r="B10" s="18">
        <f>B6*Assumptions!B9</f>
        <v>4290266153.9668484</v>
      </c>
      <c r="C10" s="18">
        <f>C6*Assumptions!B9</f>
        <v>5316147315.461315</v>
      </c>
      <c r="D10" s="18">
        <f>D6*Assumptions!B9</f>
        <v>6587335439.214088</v>
      </c>
      <c r="E10" s="18">
        <f>E6*Assumptions!B9</f>
        <v>8162487909.716699</v>
      </c>
      <c r="F10" s="18">
        <f>F6*Assumptions!B9</f>
        <v>10114288165.689678</v>
      </c>
    </row>
    <row r="11" spans="1:6" x14ac:dyDescent="0.25">
      <c r="A11" t="s">
        <v>47</v>
      </c>
      <c r="B11" s="18">
        <f>-B6*Assumptions!B10</f>
        <v>-5059891028.789534</v>
      </c>
      <c r="C11" s="18">
        <f>-C6*Assumptions!B10</f>
        <v>-6269803584.179716</v>
      </c>
      <c r="D11" s="18">
        <f>-D6*Assumptions!B10</f>
        <v>-7769028376.406944</v>
      </c>
      <c r="E11" s="18">
        <f>-E6*Assumptions!B10</f>
        <v>-9626745256.536291</v>
      </c>
      <c r="F11" s="18">
        <f>-F6*Assumptions!B10</f>
        <v>-11928676244.210655</v>
      </c>
    </row>
    <row r="12" spans="1:6" x14ac:dyDescent="0.25">
      <c r="A12" t="s">
        <v>48</v>
      </c>
      <c r="B12" s="18">
        <f>-(B6-Assumptions!B29)*Assumptions!B11</f>
        <v>-285507973.2921153</v>
      </c>
      <c r="C12" s="18">
        <f>-(C6-B6)*Assumptions!B11</f>
        <v>-353778155.3147454</v>
      </c>
      <c r="D12" s="18">
        <f>-(D6-C6)*Assumptions!B11</f>
        <v>-438372987.3976189</v>
      </c>
      <c r="E12" s="18">
        <f>-(E6-D6)*Assumptions!B11</f>
        <v>-543195992.1576968</v>
      </c>
      <c r="F12" s="18">
        <f>-(F6-E6)*Assumptions!B11</f>
        <v>-673084095.9152298</v>
      </c>
    </row>
    <row r="13" spans="1:6" x14ac:dyDescent="0.25">
      <c r="A13" s="19" t="s">
        <v>49</v>
      </c>
      <c r="B13" s="20">
        <f>B9+B10+B11+B12</f>
        <v>3847020614.7353907</v>
      </c>
      <c r="C13" s="20">
        <f>C9+C10+C11+C12</f>
        <v>4766913655.144743</v>
      </c>
      <c r="D13" s="20">
        <f>D9+D10+D11+D12</f>
        <v>5906769958.176683</v>
      </c>
      <c r="E13" s="20">
        <f>E9+E10+E11+E12</f>
        <v>7319186765.878015</v>
      </c>
      <c r="F13" s="20">
        <f>F9+F10+F11+F12</f>
        <v>9069338283.548141</v>
      </c>
    </row>
    <row r="14" spans="1:6" x14ac:dyDescent="0.25">
      <c r="A14" t="s">
        <v>50</v>
      </c>
      <c r="B14" s="21">
        <f>1/(1+Assumptions!$B$26)^(1-0.5*Assumptions!$B$32)</f>
        <v>0.9563271105321974</v>
      </c>
      <c r="C14" s="21">
        <f>1/(1+Assumptions!$B$26)^(2-0.5*Assumptions!$B$32)</f>
        <v>0.8746199971887936</v>
      </c>
      <c r="D14" s="21">
        <f>1/(1+Assumptions!$B$26)^(3-0.5*Assumptions!$B$32)</f>
        <v>0.799893813589394</v>
      </c>
      <c r="E14" s="21">
        <f>1/(1+Assumptions!$B$26)^(4-0.5*Assumptions!$B$32)</f>
        <v>0.7315521198636301</v>
      </c>
      <c r="F14" s="21">
        <f>1/(1+Assumptions!$B$26)^(5-0.5*Assumptions!$B$32)</f>
        <v>0.6690494350437455</v>
      </c>
    </row>
    <row r="15" spans="1:6" x14ac:dyDescent="0.25">
      <c r="A15" s="19" t="s">
        <v>51</v>
      </c>
      <c r="B15" s="20">
        <f>B13*B14</f>
        <v>3679010108.647694</v>
      </c>
      <c r="C15" s="20">
        <f>C13*C14</f>
        <v>4169238007.6619167</v>
      </c>
      <c r="D15" s="20">
        <f>D13*D14</f>
        <v>4724788747.841213</v>
      </c>
      <c r="E15" s="20">
        <f>E13*E14</f>
        <v>5354366594.255889</v>
      </c>
      <c r="F15" s="20">
        <f>F13*F14</f>
        <v>6067835654.828496</v>
      </c>
    </row>
    <row r="17" spans="1:2" x14ac:dyDescent="0.25">
      <c r="A17" s="22" t="s">
        <v>52</v>
      </c>
      <c r="B17" s="23">
        <f>SUM(B15:F15)</f>
        <v>23995239113.235207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9069338283.548141</v>
      </c>
    </row>
    <row r="5" spans="1:2" x14ac:dyDescent="0.25">
      <c r="A5" t="s">
        <v>56</v>
      </c>
      <c r="B5" s="18">
        <f>IF(Assumptions!$B$33=0,B4,B4-Forecast!F11-Forecast!F10-Forecast!F12)</f>
        <v>11556810457.98435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0.2676082783370663</v>
      </c>
    </row>
    <row r="7" spans="1:2" x14ac:dyDescent="0.25">
      <c r="A7" t="s">
        <v>58</v>
      </c>
      <c r="B7" s="18">
        <f>-MAX(Forecast!F9,0)*B6</f>
        <v>-3092698149.728995</v>
      </c>
    </row>
    <row r="8" spans="1:2" x14ac:dyDescent="0.25">
      <c r="A8" t="s">
        <v>59</v>
      </c>
      <c r="B8" s="18">
        <f>IF(OR(Assumptions!$B$33=0,Assumptions!B12&lt;=0),B5,MAX(B5+B7,0))</f>
        <v>8464112308.255356</v>
      </c>
    </row>
    <row r="9" spans="1:2" x14ac:dyDescent="0.25">
      <c r="A9" t="s">
        <v>60</v>
      </c>
      <c r="B9" s="18">
        <f>B8*(1+Assumptions!B12)/(Assumptions!B26-Assumptions!B12)</f>
        <v>126800624138.88876</v>
      </c>
    </row>
    <row r="10" spans="1:2" x14ac:dyDescent="0.25">
      <c r="A10" t="s">
        <v>61</v>
      </c>
      <c r="B10" s="18">
        <f>B9/(1+Assumptions!B26)^(5-0.5*Assumptions!B32)</f>
        <v>84835885943.31784</v>
      </c>
    </row>
    <row r="11" spans="1:2" x14ac:dyDescent="0.25">
      <c r="A11" t="s">
        <v>62</v>
      </c>
      <c r="B11" s="18">
        <f>Forecast!B17+B10</f>
        <v>108831125056.55304</v>
      </c>
    </row>
    <row r="12" spans="1:2" x14ac:dyDescent="0.25">
      <c r="A12" t="s">
        <v>63</v>
      </c>
      <c r="B12" s="18">
        <f>-Assumptions!B30</f>
        <v>2652000000</v>
      </c>
    </row>
    <row r="13" spans="1:2" x14ac:dyDescent="0.25">
      <c r="A13" t="s">
        <v>64</v>
      </c>
      <c r="B13" s="18">
        <f>B11+B12</f>
        <v>111483125056.55304</v>
      </c>
    </row>
    <row r="14" spans="1:2" x14ac:dyDescent="0.25">
      <c r="A14" s="19" t="s">
        <v>65</v>
      </c>
      <c r="B14" s="24">
        <f>B13/Assumptions!B31</f>
        <v>100.6165388597049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26624017391.381607</v>
      </c>
    </row>
    <row r="18" spans="1:2" x14ac:dyDescent="0.25">
      <c r="A18" t="s">
        <v>60</v>
      </c>
      <c r="B18" s="18">
        <f>B17*Assumptions!B13</f>
        <v>359064216926.0633</v>
      </c>
    </row>
    <row r="19" spans="1:2" x14ac:dyDescent="0.25">
      <c r="A19" t="s">
        <v>61</v>
      </c>
      <c r="B19" s="18">
        <f>B18/(1+Assumptions!B26)^(5-0.5*Assumptions!B32)</f>
        <v>240231711478.80753</v>
      </c>
    </row>
    <row r="20" spans="1:2" x14ac:dyDescent="0.25">
      <c r="A20" t="s">
        <v>62</v>
      </c>
      <c r="B20" s="18">
        <f>Forecast!B17+B19</f>
        <v>264226950592.04272</v>
      </c>
    </row>
    <row r="21" spans="1:2" x14ac:dyDescent="0.25">
      <c r="A21" t="s">
        <v>63</v>
      </c>
      <c r="B21" s="18">
        <f>-Assumptions!B30</f>
        <v>2652000000</v>
      </c>
    </row>
    <row r="22" spans="1:2" x14ac:dyDescent="0.25">
      <c r="A22" t="s">
        <v>64</v>
      </c>
      <c r="B22" s="18">
        <f>B20+B21</f>
        <v>266878950592.04272</v>
      </c>
    </row>
    <row r="23" spans="1:2" x14ac:dyDescent="0.25">
      <c r="A23" s="19" t="s">
        <v>65</v>
      </c>
      <c r="B23" s="25">
        <f>B22/Assumptions!B31</f>
        <v>240.86547887368476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175.87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141.28574386679762</v>
      </c>
    </row>
    <row r="29" spans="1:2" x14ac:dyDescent="0.25">
      <c r="A29" s="19" t="s">
        <v>73</v>
      </c>
      <c r="B29" s="12">
        <f>B28/B26-1</f>
        <v>-0.19664670570991294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0.07342</v>
      </c>
      <c r="B5" s="31">
        <v>131.06441126115115</v>
      </c>
      <c r="C5" s="31">
        <v>132.0692108872491</v>
      </c>
      <c r="D5" s="31">
        <v>133.1790357180379</v>
      </c>
      <c r="E5" s="31">
        <v>134.4301680674366</v>
      </c>
      <c r="F5" s="31">
        <v>135.87777745077955</v>
      </c>
    </row>
    <row r="6" spans="1:6" x14ac:dyDescent="0.25">
      <c r="A6" s="30">
        <v>0.08342</v>
      </c>
      <c r="B6" s="31">
        <v>113.09840279498877</v>
      </c>
      <c r="C6" s="31">
        <v>113.53432825149909</v>
      </c>
      <c r="D6" s="31">
        <v>113.97025370800937</v>
      </c>
      <c r="E6" s="31">
        <v>114.40617916451968</v>
      </c>
      <c r="F6" s="31">
        <v>114.84210462102999</v>
      </c>
    </row>
    <row r="7" spans="1:6" x14ac:dyDescent="0.25">
      <c r="A7" s="30">
        <v>0.09342</v>
      </c>
      <c r="B7" s="31">
        <v>99.86969930372423</v>
      </c>
      <c r="C7" s="31">
        <v>100.24319603999204</v>
      </c>
      <c r="D7" s="32">
        <v>100.61669277625982</v>
      </c>
      <c r="E7" s="31">
        <v>100.99018951252765</v>
      </c>
      <c r="F7" s="31">
        <v>101.36368624879543</v>
      </c>
    </row>
    <row r="8" spans="1:6" x14ac:dyDescent="0.25">
      <c r="A8" s="30">
        <v>0.10342</v>
      </c>
      <c r="B8" s="31">
        <v>89.25583308435249</v>
      </c>
      <c r="C8" s="31">
        <v>89.57967262094306</v>
      </c>
      <c r="D8" s="31">
        <v>89.90351215753364</v>
      </c>
      <c r="E8" s="31">
        <v>90.22735169412422</v>
      </c>
      <c r="F8" s="31">
        <v>90.55119123071479</v>
      </c>
    </row>
    <row r="9" spans="1:6" x14ac:dyDescent="0.25">
      <c r="A9" s="30">
        <v>0.11342</v>
      </c>
      <c r="B9" s="31">
        <v>80.56248571306018</v>
      </c>
      <c r="C9" s="31">
        <v>80.84602484793574</v>
      </c>
      <c r="D9" s="31">
        <v>81.12956398281129</v>
      </c>
      <c r="E9" s="31">
        <v>81.41310311768686</v>
      </c>
      <c r="F9" s="31">
        <v>81.6966422525624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22669000000</v>
      </c>
      <c r="C5" s="18">
        <v>18682000000</v>
      </c>
      <c r="D5" s="18">
        <v>11812000000</v>
      </c>
      <c r="E5" s="18">
        <v>11915000000</v>
      </c>
      <c r="F5" s="8" t="s">
        <v>84</v>
      </c>
    </row>
    <row r="6" spans="1:6" x14ac:dyDescent="0.25">
      <c r="A6" t="s">
        <v>44</v>
      </c>
      <c r="B6" s="18">
        <v>11023000000</v>
      </c>
      <c r="C6" s="18">
        <v>5910000000</v>
      </c>
      <c r="D6" s="18">
        <v>708000000</v>
      </c>
      <c r="E6" s="18">
        <v>1605000000</v>
      </c>
      <c r="F6" s="8" t="s">
        <v>85</v>
      </c>
    </row>
    <row r="7" spans="1:6" x14ac:dyDescent="0.25">
      <c r="A7" t="s">
        <v>86</v>
      </c>
      <c r="B7" s="18">
        <v>2521000000</v>
      </c>
      <c r="C7" s="18">
        <v>2576000000</v>
      </c>
      <c r="D7" s="18">
        <v>2108000000</v>
      </c>
      <c r="E7" s="18">
        <v>2185000000</v>
      </c>
      <c r="F7" s="8" t="s">
        <v>87</v>
      </c>
    </row>
    <row r="8" spans="1:6" x14ac:dyDescent="0.25">
      <c r="A8" t="s">
        <v>88</v>
      </c>
      <c r="B8" s="18">
        <v>3035000000</v>
      </c>
      <c r="C8" s="18">
        <v>3402000000</v>
      </c>
      <c r="D8" s="18">
        <v>2666000000</v>
      </c>
      <c r="E8" s="18">
        <v>2131000000</v>
      </c>
      <c r="F8" s="8" t="s">
        <v>89</v>
      </c>
    </row>
    <row r="9" spans="1:6" x14ac:dyDescent="0.25">
      <c r="A9" t="s">
        <v>90</v>
      </c>
      <c r="B9" s="18">
        <v>210000000</v>
      </c>
      <c r="C9" s="18">
        <v>1025000000</v>
      </c>
      <c r="D9" s="18">
        <v>513000000</v>
      </c>
      <c r="E9" s="18">
        <v>841000000</v>
      </c>
      <c r="F9" s="8" t="s">
        <v>91</v>
      </c>
    </row>
    <row r="10" spans="1:6" x14ac:dyDescent="0.25">
      <c r="A10" t="s">
        <v>92</v>
      </c>
      <c r="B10" s="18">
        <v>5589000000</v>
      </c>
      <c r="C10" s="18">
        <v>8972000000</v>
      </c>
      <c r="D10" s="18">
        <v>9436000000</v>
      </c>
      <c r="E10" s="18">
        <v>6132000000</v>
      </c>
      <c r="F10" s="8" t="s">
        <v>93</v>
      </c>
    </row>
    <row r="11" spans="1:6" x14ac:dyDescent="0.25">
      <c r="A11" t="s">
        <v>94</v>
      </c>
      <c r="B11" s="18">
        <v>8241000000</v>
      </c>
      <c r="C11" s="18">
        <v>3640000000</v>
      </c>
      <c r="D11" s="18">
        <v>3025000000</v>
      </c>
      <c r="E11" s="18">
        <v>3757000000</v>
      </c>
      <c r="F11" s="8" t="s">
        <v>95</v>
      </c>
    </row>
    <row r="12" spans="1:6" x14ac:dyDescent="0.25">
      <c r="A12" t="s">
        <v>32</v>
      </c>
      <c r="B12" s="34">
        <v>1108000000</v>
      </c>
      <c r="C12" s="34">
        <v>1148000000</v>
      </c>
      <c r="D12" s="34">
        <v>841000000</v>
      </c>
      <c r="E12" s="34">
        <v>795000000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2026-09-19T00:06:50Z</dcterms:modified>
</cp:coreProperties>
</file>