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<sst xmlns="http://schemas.openxmlformats.org/spreadsheetml/2006/main" count="112" uniqueCount="100">
  <si>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Nexi S.p.A. (NEXI.MI)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</si>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</sst>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0.05777760609178695</v>
      </c>
    </row>
    <row r="7" spans="1:2" x14ac:dyDescent="0.25">
      <c r="A7" t="s">
        <v>5</v>
      </c>
      <c r="B7" s="6">
        <v>0.053224029159047725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0.2097194570622052</v>
      </c>
    </row>
    <row r="10" spans="1:2" x14ac:dyDescent="0.25">
      <c r="A10" t="s">
        <v>8</v>
      </c>
      <c r="B10" s="6">
        <v>0.07985218621021624</v>
      </c>
    </row>
    <row r="11" spans="1:2" x14ac:dyDescent="0.25">
      <c r="A11" t="s">
        <v>9</v>
      </c>
      <c r="B11" s="6">
        <v>0.09699794738115493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3.315803312101911</v>
      </c>
    </row>
    <row r="14" spans="1:3" x14ac:dyDescent="0.25">
      <c r="A14" t="s">
        <v>12</v>
      </c>
      <c r="B14" s="6">
        <v>0.06986805278821527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1.06901</v>
      </c>
      <c r="C19" s="8" t="s">
        <v>19</v>
      </c>
    </row>
    <row r="20" spans="1:2" x14ac:dyDescent="0.25">
      <c r="A20" t="s">
        <v>20</v>
      </c>
      <c r="B20" s="10">
        <f>B17+B19*B18</f>
        <v>0.11148565000000002</v>
      </c>
    </row>
    <row r="21" spans="1:3" x14ac:dyDescent="0.25">
      <c r="A21" t="s">
        <v>21</v>
      </c>
      <c r="B21" s="6">
        <v>0.052952300903551165</v>
      </c>
      <c r="C21" s="8" t="s">
        <v>22</v>
      </c>
    </row>
    <row r="22" spans="1:2" x14ac:dyDescent="0.25">
      <c r="A22" t="s">
        <v>23</v>
      </c>
      <c r="B22" s="11">
        <v>4870392320</v>
      </c>
    </row>
    <row r="23" spans="1:2" x14ac:dyDescent="0.25">
      <c r="A23" t="s">
        <v>24</v>
      </c>
      <c r="B23" s="11">
        <v>6722000000</v>
      </c>
    </row>
    <row r="24" spans="1:2" x14ac:dyDescent="0.25">
      <c r="A24" t="s">
        <v>25</v>
      </c>
      <c r="B24" s="10">
        <f>B22/(B22+B23)</f>
        <v>0.42013694719400246</v>
      </c>
    </row>
    <row r="25" spans="1:2" x14ac:dyDescent="0.25">
      <c r="A25" t="s">
        <v>26</v>
      </c>
      <c r="B25" s="10">
        <f>1-B24</f>
        <v>0.5798630528059976</v>
      </c>
    </row>
    <row r="26" spans="1:2" x14ac:dyDescent="0.25">
      <c r="A26" t="s">
        <v>27</v>
      </c>
      <c r="B26" s="12">
        <f>B24*B20+B25*B21*(1-B8)</f>
        <v>0.06986805278821527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6274000000</v>
      </c>
      <c r="C29" s="8" t="s">
        <v>30</v>
      </c>
    </row>
    <row r="30" spans="1:2" x14ac:dyDescent="0.25">
      <c r="A30" t="s">
        <v>31</v>
      </c>
      <c r="B30" s="11">
        <v>856000000</v>
      </c>
    </row>
    <row r="31" spans="1:2" x14ac:dyDescent="0.25">
      <c r="A31" t="s">
        <v>32</v>
      </c>
      <c r="B31" s="13">
        <v>1283128000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0.05777760609178695</v>
      </c>
      <c r="C5" s="10">
        <f>Assumptions!B6</f>
        <v>0.05777760609178695</v>
      </c>
      <c r="D5" s="10">
        <f>Assumptions!B6</f>
        <v>0.05777760609178695</v>
      </c>
      <c r="E5" s="10">
        <f>Assumptions!B6</f>
        <v>0.05777760609178695</v>
      </c>
      <c r="F5" s="10">
        <f>Assumptions!B6</f>
        <v>0.05777760609178695</v>
      </c>
    </row>
    <row r="6" spans="1:6" x14ac:dyDescent="0.25">
      <c r="A6" t="s">
        <v>43</v>
      </c>
      <c r="B6" s="18">
        <f>Assumptions!B29*(1+B5)</f>
        <v>6636496700.619871</v>
      </c>
      <c r="C6" s="18">
        <f>B6*(1+C5)</f>
        <v>7019937592.81773</v>
      </c>
      <c r="D6" s="18">
        <f>C6*(1+D5)</f>
        <v>7425532781.84448</v>
      </c>
      <c r="E6" s="18">
        <f>D6*(1+E5)</f>
        <v>7854562289.935541</v>
      </c>
      <c r="F6" s="18">
        <f>E6*(1+F5)</f>
        <v>8308380095.946841</v>
      </c>
    </row>
    <row r="7" spans="1:6" x14ac:dyDescent="0.25">
      <c r="A7" t="s">
        <v>5</v>
      </c>
      <c r="B7" s="10">
        <f>Assumptions!B7</f>
        <v>0.053224029159047725</v>
      </c>
      <c r="C7" s="10">
        <f>Assumptions!B7</f>
        <v>0.053224029159047725</v>
      </c>
      <c r="D7" s="10">
        <f>Assumptions!B7</f>
        <v>0.053224029159047725</v>
      </c>
      <c r="E7" s="10">
        <f>Assumptions!B7</f>
        <v>0.053224029159047725</v>
      </c>
      <c r="F7" s="10">
        <f>Assumptions!B7</f>
        <v>0.053224029159047725</v>
      </c>
    </row>
    <row r="8" spans="1:6" x14ac:dyDescent="0.25">
      <c r="A8" t="s">
        <v>44</v>
      </c>
      <c r="B8" s="18">
        <f>B6*B7</f>
        <v>353221093.90771604</v>
      </c>
      <c r="C8" s="18">
        <f>C6*C7</f>
        <v>373629363.1348262</v>
      </c>
      <c r="D8" s="18">
        <f>D6*D7</f>
        <v>395216773.30235535</v>
      </c>
      <c r="E8" s="18">
        <f>E6*E7</f>
        <v>418051452.3510859</v>
      </c>
      <c r="F8" s="18">
        <f>F6*F7</f>
        <v>442205464.4911264</v>
      </c>
    </row>
    <row r="9" spans="1:6" x14ac:dyDescent="0.25">
      <c r="A9" t="s">
        <v>45</v>
      </c>
      <c r="B9" s="18">
        <f>B8*(1-Assumptions!B8)</f>
        <v>264915820.43078703</v>
      </c>
      <c r="C9" s="18">
        <f>C8*(1-Assumptions!B8)</f>
        <v>280222022.35111964</v>
      </c>
      <c r="D9" s="18">
        <f>D8*(1-Assumptions!B8)</f>
        <v>296412579.9767665</v>
      </c>
      <c r="E9" s="18">
        <f>E8*(1-Assumptions!B8)</f>
        <v>313538589.2633144</v>
      </c>
      <c r="F9" s="18">
        <f>F8*(1-Assumptions!B8)</f>
        <v>331654098.3683448</v>
      </c>
    </row>
    <row r="10" spans="1:6" x14ac:dyDescent="0.25">
      <c r="A10" t="s">
        <v>46</v>
      </c>
      <c r="B10" s="18">
        <f>B6*Assumptions!B9</f>
        <v>1391802484.8491156</v>
      </c>
      <c r="C10" s="18">
        <f>C6*Assumptions!B9</f>
        <v>1472217500.5762982</v>
      </c>
      <c r="D10" s="18">
        <f>D6*Assumptions!B9</f>
        <v>1557278703.4060307</v>
      </c>
      <c r="E10" s="18">
        <f>E6*Assumptions!B9</f>
        <v>1647254538.906553</v>
      </c>
      <c r="F10" s="18">
        <f>F6*Assumptions!B9</f>
        <v>1742428962.788404</v>
      </c>
    </row>
    <row r="11" spans="1:6" x14ac:dyDescent="0.25">
      <c r="A11" t="s">
        <v>47</v>
      </c>
      <c r="B11" s="18">
        <f>-B6*Assumptions!B10</f>
        <v>-529938770.32138366</v>
      </c>
      <c r="C11" s="18">
        <f>-C6*Assumptions!B10</f>
        <v>-560557363.8457785</v>
      </c>
      <c r="D11" s="18">
        <f>-D6*Assumptions!B10</f>
        <v>-592945026.4059104</v>
      </c>
      <c r="E11" s="18">
        <f>-E6*Assumptions!B10</f>
        <v>-627203970.5756752</v>
      </c>
      <c r="F11" s="18">
        <f>-F6*Assumptions!B10</f>
        <v>-663442314.5268015</v>
      </c>
    </row>
    <row r="12" spans="1:6" x14ac:dyDescent="0.25">
      <c r="A12" t="s">
        <v>48</v>
      </c>
      <c r="B12" s="18">
        <f>-(B6-Assumptions!B29)*Assumptions!B11</f>
        <v>-35161435.89256853</v>
      </c>
      <c r="C12" s="18">
        <f>-(C6-B6)*Assumptions!B11</f>
        <v>-37192979.48519101</v>
      </c>
      <c r="D12" s="18">
        <f>-(D6-C6)*Assumptions!B11</f>
        <v>-39341900.80326624</v>
      </c>
      <c r="E12" s="18">
        <f>-(E6-D6)*Assumptions!B11</f>
        <v>-41614981.650779575</v>
      </c>
      <c r="F12" s="18">
        <f>-(F6-E6)*Assumptions!B11</f>
        <v>-44019395.66811526</v>
      </c>
    </row>
    <row r="13" spans="1:6" x14ac:dyDescent="0.25">
      <c r="A13" s="19" t="s">
        <v>49</v>
      </c>
      <c r="B13" s="20">
        <f>B9+B10+B11+B12</f>
        <v>1091618099.0659504</v>
      </c>
      <c r="C13" s="20">
        <f>C9+C10+C11+C12</f>
        <v>1154689179.5964482</v>
      </c>
      <c r="D13" s="20">
        <f>D9+D10+D11+D12</f>
        <v>1221404356.1736205</v>
      </c>
      <c r="E13" s="20">
        <f>E9+E10+E11+E12</f>
        <v>1291974175.9434128</v>
      </c>
      <c r="F13" s="20">
        <f>F9+F10+F11+F12</f>
        <v>1366621350.961832</v>
      </c>
    </row>
    <row r="14" spans="1:6" x14ac:dyDescent="0.25">
      <c r="A14" t="s">
        <v>50</v>
      </c>
      <c r="B14" s="21">
        <f>1/(1+Assumptions!$B$26)^(1-0.5*Assumptions!$B$32)</f>
        <v>0.9667961011871894</v>
      </c>
      <c r="C14" s="21">
        <f>1/(1+Assumptions!$B$26)^(2-0.5*Assumptions!$B$32)</f>
        <v>0.9036591929888861</v>
      </c>
      <c r="D14" s="21">
        <f>1/(1+Assumptions!$B$26)^(3-0.5*Assumptions!$B$32)</f>
        <v>0.844645459441314</v>
      </c>
      <c r="E14" s="21">
        <f>1/(1+Assumptions!$B$26)^(4-0.5*Assumptions!$B$32)</f>
        <v>0.7894856353921946</v>
      </c>
      <c r="F14" s="21">
        <f>1/(1+Assumptions!$B$26)^(5-0.5*Assumptions!$B$32)</f>
        <v>0.7379280401304558</v>
      </c>
    </row>
    <row r="15" spans="1:6" x14ac:dyDescent="0.25">
      <c r="A15" s="19" t="s">
        <v>51</v>
      </c>
      <c r="B15" s="20">
        <f>B13*B14</f>
        <v>1055372122.1623319</v>
      </c>
      <c r="C15" s="20">
        <f>C13*C14</f>
        <v>1043445492.1871253</v>
      </c>
      <c r="D15" s="20">
        <f>D13*D14</f>
        <v>1031653643.58389</v>
      </c>
      <c r="E15" s="20">
        <f>E13*E14</f>
        <v>1019995053.2049923</v>
      </c>
      <c r="F15" s="20">
        <f>F13*F14</f>
        <v>1008468215.1157005</v>
      </c>
    </row>
    <row r="17" spans="1:2" x14ac:dyDescent="0.25">
      <c r="A17" s="22" t="s">
        <v>52</v>
      </c>
      <c r="B17" s="23">
        <f>SUM(B15:F15)</f>
        <v>5158934526.25404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1366621350.961832</v>
      </c>
    </row>
    <row r="5" spans="1:2" x14ac:dyDescent="0.25">
      <c r="A5" t="s">
        <v>56</v>
      </c>
      <c r="B5" s="18">
        <f>IF(Assumptions!$B$33=0,B4,B4-Forecast!F11-Forecast!F10-Forecast!F12)</f>
        <v>1454862223.0544133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0.3578173285547294</v>
      </c>
    </row>
    <row r="7" spans="1:2" x14ac:dyDescent="0.25">
      <c r="A7" t="s">
        <v>58</v>
      </c>
      <c r="B7" s="18">
        <f>-MAX(Forecast!F9,0)*B6</f>
        <v>-520574914.0685251</v>
      </c>
    </row>
    <row r="8" spans="1:2" x14ac:dyDescent="0.25">
      <c r="A8" t="s">
        <v>59</v>
      </c>
      <c r="B8" s="18">
        <f>IF(OR(Assumptions!$B$33=0,Assumptions!B12&lt;=0),B5,MAX(B5+B7,0))</f>
        <v>934287308.9858882</v>
      </c>
    </row>
    <row r="9" spans="1:2" x14ac:dyDescent="0.25">
      <c r="A9" t="s">
        <v>60</v>
      </c>
      <c r="B9" s="18">
        <f>B8*(1+Assumptions!B12)/(Assumptions!B26-Assumptions!B12)</f>
        <v>21343571476.809525</v>
      </c>
    </row>
    <row r="10" spans="1:2" x14ac:dyDescent="0.25">
      <c r="A10" t="s">
        <v>61</v>
      </c>
      <c r="B10" s="18">
        <f>B9/(1+Assumptions!B26)^(5-0.5*Assumptions!B32)</f>
        <v>15750019869.26635</v>
      </c>
    </row>
    <row r="11" spans="1:2" x14ac:dyDescent="0.25">
      <c r="A11" t="s">
        <v>62</v>
      </c>
      <c r="B11" s="18">
        <f>Forecast!B17+B10</f>
        <v>20908954395.52039</v>
      </c>
    </row>
    <row r="12" spans="1:2" x14ac:dyDescent="0.25">
      <c r="A12" t="s">
        <v>63</v>
      </c>
      <c r="B12" s="18">
        <f>-Assumptions!B30</f>
        <v>-856000000</v>
      </c>
    </row>
    <row r="13" spans="1:2" x14ac:dyDescent="0.25">
      <c r="A13" t="s">
        <v>64</v>
      </c>
      <c r="B13" s="18">
        <f>B11+B12</f>
        <v>20052954395.52039</v>
      </c>
    </row>
    <row r="14" spans="1:2" x14ac:dyDescent="0.25">
      <c r="A14" s="19" t="s">
        <v>65</v>
      </c>
      <c r="B14" s="24">
        <f>B13/Assumptions!B31</f>
        <v>15.628179258437498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2184634427.2795305</v>
      </c>
    </row>
    <row r="18" spans="1:2" x14ac:dyDescent="0.25">
      <c r="A18" t="s">
        <v>60</v>
      </c>
      <c r="B18" s="18">
        <f>B17*Assumptions!B13</f>
        <v>7243818069.705328</v>
      </c>
    </row>
    <row r="19" spans="1:2" x14ac:dyDescent="0.25">
      <c r="A19" t="s">
        <v>61</v>
      </c>
      <c r="B19" s="18">
        <f>B18/(1+Assumptions!B26)^(5-0.5*Assumptions!B32)</f>
        <v>5345416471.239234</v>
      </c>
    </row>
    <row r="20" spans="1:2" x14ac:dyDescent="0.25">
      <c r="A20" t="s">
        <v>62</v>
      </c>
      <c r="B20" s="18">
        <f>Forecast!B17+B19</f>
        <v>10504350997.493275</v>
      </c>
    </row>
    <row r="21" spans="1:2" x14ac:dyDescent="0.25">
      <c r="A21" t="s">
        <v>63</v>
      </c>
      <c r="B21" s="18">
        <f>-Assumptions!B30</f>
        <v>-856000000</v>
      </c>
    </row>
    <row r="22" spans="1:2" x14ac:dyDescent="0.25">
      <c r="A22" t="s">
        <v>64</v>
      </c>
      <c r="B22" s="18">
        <f>B20+B21</f>
        <v>9648350997.493275</v>
      </c>
    </row>
    <row r="23" spans="1:2" x14ac:dyDescent="0.25">
      <c r="A23" s="19" t="s">
        <v>65</v>
      </c>
      <c r="B23" s="25">
        <f>B22/Assumptions!B31</f>
        <v>7.519398686252092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4.146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15.628179258437498</v>
      </c>
    </row>
    <row r="29" spans="1:2" x14ac:dyDescent="0.25">
      <c r="A29" s="19" t="s">
        <v>73</v>
      </c>
      <c r="B29" s="12">
        <f>B28/B26-1</f>
        <v>2.769459541350096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0.049868</v>
      </c>
      <c r="B5" s="31">
        <v>22.086542025217515</v>
      </c>
      <c r="C5" s="31">
        <v>22.177867890305755</v>
      </c>
      <c r="D5" s="31">
        <v>22.269193755393992</v>
      </c>
      <c r="E5" s="31">
        <v>22.360519620482226</v>
      </c>
      <c r="F5" s="31">
        <v>22.451845485570466</v>
      </c>
    </row>
    <row r="6" spans="1:6" x14ac:dyDescent="0.25">
      <c r="A6" s="30">
        <v>0.059868</v>
      </c>
      <c r="B6" s="31">
        <v>18.24602870800036</v>
      </c>
      <c r="C6" s="31">
        <v>18.318923101963936</v>
      </c>
      <c r="D6" s="31">
        <v>18.39181749592751</v>
      </c>
      <c r="E6" s="31">
        <v>18.464711889891078</v>
      </c>
      <c r="F6" s="31">
        <v>18.537606283854647</v>
      </c>
    </row>
    <row r="7" spans="1:6" x14ac:dyDescent="0.25">
      <c r="A7" s="30">
        <v>0.069868</v>
      </c>
      <c r="B7" s="31">
        <v>15.508438396091396</v>
      </c>
      <c r="C7" s="31">
        <v>15.568315072714846</v>
      </c>
      <c r="D7" s="32">
        <v>15.62819174933829</v>
      </c>
      <c r="E7" s="31">
        <v>15.688068425961742</v>
      </c>
      <c r="F7" s="31">
        <v>15.747945102585186</v>
      </c>
    </row>
    <row r="8" spans="1:6" x14ac:dyDescent="0.25">
      <c r="A8" s="30">
        <v>0.079868</v>
      </c>
      <c r="B8" s="31">
        <v>13.459318377360743</v>
      </c>
      <c r="C8" s="31">
        <v>13.509550445245917</v>
      </c>
      <c r="D8" s="31">
        <v>13.559782513131086</v>
      </c>
      <c r="E8" s="31">
        <v>13.610014581016262</v>
      </c>
      <c r="F8" s="31">
        <v>13.660246648901435</v>
      </c>
    </row>
    <row r="9" spans="1:6" x14ac:dyDescent="0.25">
      <c r="A9" s="30">
        <v>0.089868</v>
      </c>
      <c r="B9" s="31">
        <v>11.868697443572612</v>
      </c>
      <c r="C9" s="31">
        <v>11.911526080916222</v>
      </c>
      <c r="D9" s="31">
        <v>11.954354718259822</v>
      </c>
      <c r="E9" s="31">
        <v>11.997183355603426</v>
      </c>
      <c r="F9" s="31">
        <v>12.040011992947028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6274000000</v>
      </c>
      <c r="C5" s="18">
        <v>6108000000</v>
      </c>
      <c r="D5" s="18">
        <v>5813560000</v>
      </c>
      <c r="E5" s="18">
        <v>5301044000</v>
      </c>
      <c r="F5" s="8" t="s">
        <v>84</v>
      </c>
    </row>
    <row r="6" spans="1:6" x14ac:dyDescent="0.25">
      <c r="A6" t="s">
        <v>44</v>
      </c>
      <c r="B6" s="18">
        <v>822000000</v>
      </c>
      <c r="C6" s="18">
        <v>619000000</v>
      </c>
      <c r="D6" s="18">
        <v>-576112000</v>
      </c>
      <c r="E6" s="18">
        <v>422147000</v>
      </c>
      <c r="F6" s="8" t="s">
        <v>85</v>
      </c>
    </row>
    <row r="7" spans="1:6" x14ac:dyDescent="0.25">
      <c r="A7" t="s">
        <v>86</v>
      </c>
      <c r="B7" s="18">
        <v>905000000</v>
      </c>
      <c r="C7" s="18">
        <v>906000000</v>
      </c>
      <c r="D7" s="18">
        <v>2151753000</v>
      </c>
      <c r="E7" s="18">
        <v>933912000</v>
      </c>
      <c r="F7" s="8" t="s">
        <v>87</v>
      </c>
    </row>
    <row r="8" spans="1:6" x14ac:dyDescent="0.25">
      <c r="A8" t="s">
        <v>88</v>
      </c>
      <c r="B8" s="18">
        <v>420000000</v>
      </c>
      <c r="C8" s="18">
        <v>447000000</v>
      </c>
      <c r="D8" s="18">
        <v>464542000</v>
      </c>
      <c r="E8" s="18">
        <v>526799000</v>
      </c>
      <c r="F8" s="8" t="s">
        <v>89</v>
      </c>
    </row>
    <row r="9" spans="1:6" x14ac:dyDescent="0.25">
      <c r="A9" t="s">
        <v>90</v>
      </c>
      <c r="B9" s="18">
        <v>58000000</v>
      </c>
      <c r="C9" s="18">
        <v>-173000000</v>
      </c>
      <c r="D9" s="18">
        <v>49713000</v>
      </c>
      <c r="E9" s="18">
        <v>357335000</v>
      </c>
      <c r="F9" s="8" t="s">
        <v>91</v>
      </c>
    </row>
    <row r="10" spans="1:6" x14ac:dyDescent="0.25">
      <c r="A10" t="s">
        <v>92</v>
      </c>
      <c r="B10" s="18">
        <v>6722000000</v>
      </c>
      <c r="C10" s="18">
        <v>2796000000</v>
      </c>
      <c r="D10" s="18">
        <v>11095636000</v>
      </c>
      <c r="E10" s="18">
        <v>9650822000</v>
      </c>
      <c r="F10" s="8" t="s">
        <v>93</v>
      </c>
    </row>
    <row r="11" spans="1:6" x14ac:dyDescent="0.25">
      <c r="A11" t="s">
        <v>94</v>
      </c>
      <c r="B11" s="18">
        <v>5866000000</v>
      </c>
      <c r="C11" s="18">
        <v>6153000000</v>
      </c>
      <c r="D11" s="18">
        <v>800172000</v>
      </c>
      <c r="E11" s="18">
        <v>448778000</v>
      </c>
      <c r="F11" s="8" t="s">
        <v>95</v>
      </c>
    </row>
    <row r="12" spans="1:6" x14ac:dyDescent="0.25">
      <c r="A12" t="s">
        <v>32</v>
      </c>
      <c r="B12" s="34">
        <v>1283128000</v>
      </c>
      <c r="C12" s="34">
        <v>1229359217</v>
      </c>
      <c r="D12" s="34">
        <v>1311606357</v>
      </c>
      <c r="E12" s="34">
        <v>1380969000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2026-09-19T01:06:06Z</dcterms:modified>
</cp:coreProperties>
</file>