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<sst xmlns="http://schemas.openxmlformats.org/spreadsheetml/2006/main" count="119" uniqueCount="106">
  <si>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Netflix, Inc. (NFLX)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</si>
  <si>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</si>
  <si>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</si>
  <si>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</si>
  <si>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</si>
  <si>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</si>
  <si>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</si>
  <si>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</si>
  <si>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</si>
  <si>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</si>
  <si>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</si>
  <si>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</si>
  <si>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</si>
  <si>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</si>
  <si>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</si>
  <si>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</si>
  <si>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</si>
  <si>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</si>
  <si>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</si>
  <si>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</si>
  <si>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</si>
  <si>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</si>
  <si>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</si>
  <si>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</si>
  <si>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17.2x interest cover. Book interest / average debt was lower, at 5.2%.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</si>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</sst>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0.13149065813107375</v>
      </c>
    </row>
    <row r="7" spans="1:2" x14ac:dyDescent="0.25">
      <c r="A7" t="s">
        <v>4</v>
      </c>
      <c r="B7" s="5">
        <v>0.2366082235820986</v>
      </c>
    </row>
    <row r="8" spans="1:2" x14ac:dyDescent="0.25">
      <c r="A8" t="s">
        <v>5</v>
      </c>
      <c r="B8" s="5">
        <v>0.1326872499608157</v>
      </c>
    </row>
    <row r="9" spans="1:2" x14ac:dyDescent="0.25">
      <c r="A9" t="s">
        <v>6</v>
      </c>
      <c r="B9" s="5">
        <v>0.41437150140282053</v>
      </c>
    </row>
    <row r="10" spans="1:3" x14ac:dyDescent="0.25">
      <c r="A10" t="s">
        <v>7</v>
      </c>
      <c r="B10" s="5">
        <v>0.01243346582621872</v>
      </c>
      <c r="C10" s="6" t="s">
        <v>8</v>
      </c>
    </row>
    <row r="11" spans="1:2" x14ac:dyDescent="0.25">
      <c r="A11" t="s">
        <v>9</v>
      </c>
      <c r="B11" s="5">
        <v>0.013582875630011289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8.77257068299422</v>
      </c>
    </row>
    <row r="14" spans="1:3" x14ac:dyDescent="0.25">
      <c r="A14" t="s">
        <v>12</v>
      </c>
      <c r="B14" s="5">
        <v>0.19786622861232073</v>
      </c>
      <c r="C14" s="6" t="s">
        <v>13</v>
      </c>
    </row>
    <row r="15" spans="1:3" x14ac:dyDescent="0.25">
      <c r="A15" t="s">
        <v>14</v>
      </c>
      <c r="B15" s="5">
        <v>0.009261487686099908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1.41071</v>
      </c>
      <c r="C19" s="6" t="s">
        <v>21</v>
      </c>
    </row>
    <row r="20" spans="1:2" x14ac:dyDescent="0.25">
      <c r="A20" t="s">
        <v>22</v>
      </c>
      <c r="B20" s="9">
        <f>B17+B19*B18</f>
        <v>0.108613033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258497380352</v>
      </c>
    </row>
    <row r="23" spans="1:2" x14ac:dyDescent="0.25">
      <c r="A23" t="s">
        <v>26</v>
      </c>
      <c r="B23" s="10">
        <v>14462836000</v>
      </c>
    </row>
    <row r="24" spans="1:2" x14ac:dyDescent="0.25">
      <c r="A24" t="s">
        <v>27</v>
      </c>
      <c r="B24" s="9">
        <f>B22/(B22+B23)</f>
        <v>0.9470148573543434</v>
      </c>
    </row>
    <row r="25" spans="1:2" x14ac:dyDescent="0.25">
      <c r="A25" t="s">
        <v>28</v>
      </c>
      <c r="B25" s="9">
        <f>1-B24</f>
        <v>0.05298514264565657</v>
      </c>
    </row>
    <row r="26" spans="1:2" x14ac:dyDescent="0.25">
      <c r="A26" t="s">
        <v>29</v>
      </c>
      <c r="B26" s="11">
        <f>B24*B20+B25*B21*(1-B8)</f>
        <v>0.10529099723022965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45183036000</v>
      </c>
      <c r="C29" s="6" t="s">
        <v>32</v>
      </c>
    </row>
    <row r="30" spans="1:2" x14ac:dyDescent="0.25">
      <c r="A30" t="s">
        <v>33</v>
      </c>
      <c r="B30" s="10">
        <v>5400477000</v>
      </c>
    </row>
    <row r="31" spans="1:2" x14ac:dyDescent="0.25">
      <c r="A31" t="s">
        <v>34</v>
      </c>
      <c r="B31" s="12">
        <v>4343863000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0.13149065813107375</v>
      </c>
      <c r="C5" s="5">
        <v>0.10712669765309046</v>
      </c>
      <c r="D5" s="5">
        <v>0.09686086044645416</v>
      </c>
      <c r="E5" s="5">
        <v>0.08659502323981785</v>
      </c>
      <c r="F5" s="5">
        <v>0.07632918603318153</v>
      </c>
      <c r="G5" s="5">
        <v>0.06606334882654523</v>
      </c>
      <c r="H5" s="5">
        <v>0.055797511619908924</v>
      </c>
      <c r="I5" s="5">
        <v>0.04553167441327261</v>
      </c>
      <c r="J5" s="5">
        <v>0.0352658372066363</v>
      </c>
      <c r="K5" s="5">
        <v>0.024999999999999994</v>
      </c>
    </row>
    <row r="6" spans="1:11" x14ac:dyDescent="0.25">
      <c r="A6" t="s">
        <v>50</v>
      </c>
      <c r="B6" s="18">
        <f>Assumptions!B29*(1+B5)</f>
        <v>51124183140</v>
      </c>
      <c r="C6" s="18">
        <f>B6*(1+C5)</f>
        <v>56600948050.00001</v>
      </c>
      <c r="D6" s="18">
        <f>C6*(1+D5)</f>
        <v>62083364580.20807</v>
      </c>
      <c r="E6" s="18">
        <f>D6*(1+E5)</f>
        <v>67459474978.83727</v>
      </c>
      <c r="F6" s="18">
        <f>E6*(1+F5)</f>
        <v>72608601794.19771</v>
      </c>
      <c r="G6" s="18">
        <f>F6*(1+G5)</f>
        <v>77405369182.33551</v>
      </c>
      <c r="H6" s="18">
        <f>G6*(1+H5)</f>
        <v>81724396168.73022</v>
      </c>
      <c r="I6" s="18">
        <f>H6*(1+I5)</f>
        <v>85445444766.70615</v>
      </c>
      <c r="J6" s="18">
        <f>I6*(1+J5)</f>
        <v>88458749911.89745</v>
      </c>
      <c r="K6" s="18">
        <f>J6*(1+K5)</f>
        <v>90670218659.69487</v>
      </c>
    </row>
    <row r="7" spans="1:11" x14ac:dyDescent="0.25">
      <c r="A7" t="s">
        <v>4</v>
      </c>
      <c r="B7" s="9">
        <f>Assumptions!B7</f>
        <v>0.2366082235820986</v>
      </c>
      <c r="C7" s="9">
        <f>Assumptions!B7</f>
        <v>0.2366082235820986</v>
      </c>
      <c r="D7" s="9">
        <f>Assumptions!B7</f>
        <v>0.2366082235820986</v>
      </c>
      <c r="E7" s="9">
        <f>Assumptions!B7</f>
        <v>0.2366082235820986</v>
      </c>
      <c r="F7" s="9">
        <f>Assumptions!B7</f>
        <v>0.2366082235820986</v>
      </c>
      <c r="G7" s="9">
        <f>Assumptions!B7</f>
        <v>0.2366082235820986</v>
      </c>
      <c r="H7" s="9">
        <f>Assumptions!B7</f>
        <v>0.2366082235820986</v>
      </c>
      <c r="I7" s="9">
        <f>Assumptions!B7</f>
        <v>0.2366082235820986</v>
      </c>
      <c r="J7" s="9">
        <f>Assumptions!B7</f>
        <v>0.2366082235820986</v>
      </c>
      <c r="K7" s="9">
        <f>Assumptions!B7</f>
        <v>0.2366082235820986</v>
      </c>
    </row>
    <row r="8" spans="1:11" x14ac:dyDescent="0.25">
      <c r="A8" t="s">
        <v>51</v>
      </c>
      <c r="B8" s="18">
        <f>B6*B7</f>
        <v>12096402154.841276</v>
      </c>
      <c r="C8" s="18">
        <f>C6*C7</f>
        <v>13392249771.17315</v>
      </c>
      <c r="D8" s="18">
        <f>D6*D7</f>
        <v>14689434607.322811</v>
      </c>
      <c r="E8" s="18">
        <f>E6*E7</f>
        <v>15961466538.523716</v>
      </c>
      <c r="F8" s="18">
        <f>F6*F7</f>
        <v>17179792287.305098</v>
      </c>
      <c r="G8" s="18">
        <f>G6*G7</f>
        <v>18314746897.948925</v>
      </c>
      <c r="H8" s="18">
        <f>H6*H7</f>
        <v>19336664200.80292</v>
      </c>
      <c r="I8" s="18">
        <f>I6*I7</f>
        <v>20217094899.432663</v>
      </c>
      <c r="J8" s="18">
        <f>J6*J7</f>
        <v>20930067676.947174</v>
      </c>
      <c r="K8" s="18">
        <f>K6*K7</f>
        <v>21453319368.870853</v>
      </c>
    </row>
    <row r="9" spans="1:11" x14ac:dyDescent="0.25">
      <c r="A9" t="s">
        <v>52</v>
      </c>
      <c r="B9" s="18">
        <f>B8*(1-Assumptions!B8)</f>
        <v>10491363818.495302</v>
      </c>
      <c r="C9" s="18">
        <f>C8*(1-Assumptions!B8)</f>
        <v>11615268978.24782</v>
      </c>
      <c r="D9" s="18">
        <f>D8*(1-Assumptions!B8)</f>
        <v>12740333925.797913</v>
      </c>
      <c r="E9" s="18">
        <f>E8*(1-Assumptions!B8)</f>
        <v>13843583438.185423</v>
      </c>
      <c r="F9" s="18">
        <f>F8*(1-Assumptions!B8)</f>
        <v>14900252893.804552</v>
      </c>
      <c r="G9" s="18">
        <f>G8*(1-Assumptions!B8)</f>
        <v>15884613498.331701</v>
      </c>
      <c r="H9" s="18">
        <f>H8*(1-Assumptions!B8)</f>
        <v>16770935404.582628</v>
      </c>
      <c r="I9" s="18">
        <f>I8*(1-Assumptions!B8)</f>
        <v>17534544175.03011</v>
      </c>
      <c r="J9" s="18">
        <f>J8*(1-Assumptions!B8)</f>
        <v>18152914555.399296</v>
      </c>
      <c r="K9" s="18">
        <f>K8*(1-Assumptions!B8)</f>
        <v>18606737419.28428</v>
      </c>
    </row>
    <row r="10" spans="1:11" x14ac:dyDescent="0.25">
      <c r="A10" t="s">
        <v>53</v>
      </c>
      <c r="B10" s="18">
        <f>B6*Assumptions!B9</f>
        <v>21184404525.714565</v>
      </c>
      <c r="C10" s="18">
        <f>C6*Assumptions!B9</f>
        <v>23453819824.30155</v>
      </c>
      <c r="D10" s="18">
        <f>D6*Assumptions!B9</f>
        <v>25725576993.239506</v>
      </c>
      <c r="E10" s="18">
        <f>E6*Assumptions!B9</f>
        <v>27953283930.826805</v>
      </c>
      <c r="F10" s="18">
        <f>F6*Assumptions!B9</f>
        <v>30086935340.221233</v>
      </c>
      <c r="G10" s="18">
        <f>G6*Assumptions!B9</f>
        <v>32074579044.72398</v>
      </c>
      <c r="H10" s="18">
        <f>H6*Assumptions!B9</f>
        <v>33864260741.675655</v>
      </c>
      <c r="I10" s="18">
        <f>I6*Assumptions!B9</f>
        <v>35406157236.0118</v>
      </c>
      <c r="J10" s="18">
        <f>J6*Assumptions!B9</f>
        <v>36654785013.209564</v>
      </c>
      <c r="K10" s="18">
        <f>K6*Assumptions!B9</f>
        <v>37571154638.539795</v>
      </c>
    </row>
    <row r="11" spans="1:11" x14ac:dyDescent="0.25">
      <c r="A11" t="s">
        <v>54</v>
      </c>
      <c r="B11" s="18">
        <f>-B6*B19</f>
        <v>-635650783.9645373</v>
      </c>
      <c r="C11" s="18">
        <f>-C6*C19</f>
        <v>-1126049233.9384308</v>
      </c>
      <c r="D11" s="18">
        <f>-D6*D19</f>
        <v>-1698327271.400861</v>
      </c>
      <c r="E11" s="18">
        <f>-E6*E19</f>
        <v>-2348713403.002938</v>
      </c>
      <c r="F11" s="18">
        <f>-F6*F19</f>
        <v>-3069726190.6732745</v>
      </c>
      <c r="G11" s="18">
        <f>-G6*G19</f>
        <v>-3850048975.3885283</v>
      </c>
      <c r="H11" s="18">
        <f>-H6*H19</f>
        <v>-4674623056.009533</v>
      </c>
      <c r="I11" s="18">
        <f>-I6*I19</f>
        <v>-5524980379.915143</v>
      </c>
      <c r="J11" s="18">
        <f>-J6*J19</f>
        <v>-6379819809.206444</v>
      </c>
      <c r="K11" s="18">
        <f>-K6*K19</f>
        <v>-7215811584.346044</v>
      </c>
    </row>
    <row r="12" spans="1:11" x14ac:dyDescent="0.25">
      <c r="A12" t="s">
        <v>55</v>
      </c>
      <c r="B12" s="18">
        <f>-(B6-Assumptions!B29)*Assumptions!B11</f>
        <v>-80697862.70221727</v>
      </c>
      <c r="C12" s="18">
        <f>-(C6-B6)*Assumptions!B11</f>
        <v>-74390216.62734008</v>
      </c>
      <c r="D12" s="18">
        <f>-(D6-C6)*Assumptions!B11</f>
        <v>-74466981.88173412</v>
      </c>
      <c r="E12" s="18">
        <f>-(E6-D6)*Assumptions!B11</f>
        <v>-73023038.91779089</v>
      </c>
      <c r="F12" s="18">
        <f>-(F6-E6)*Assumptions!B11</f>
        <v>-69939949.1361969</v>
      </c>
      <c r="G12" s="18">
        <f>-(G6-F6)*Assumptions!B11</f>
        <v>-65153894.859169856</v>
      </c>
      <c r="H12" s="18">
        <f>-(H6-G6)*Assumptions!B11</f>
        <v>-58664806.39886186</v>
      </c>
      <c r="I12" s="18">
        <f>-(I6-H6)*Assumptions!B11</f>
        <v>-50542540.31953482</v>
      </c>
      <c r="J12" s="18">
        <f>-(J6-I6)*Assumptions!B11</f>
        <v>-40929349.02240653</v>
      </c>
      <c r="K12" s="18">
        <f>-(K6-J6)*Assumptions!B11</f>
        <v>-30038104.96098922</v>
      </c>
    </row>
    <row r="13" spans="1:11" x14ac:dyDescent="0.25">
      <c r="A13" s="19" t="s">
        <v>56</v>
      </c>
      <c r="B13" s="20">
        <f>B9+B10+B11+B12</f>
        <v>30959419697.543114</v>
      </c>
      <c r="C13" s="20">
        <f>C9+C10+C11+C12</f>
        <v>33868649351.9836</v>
      </c>
      <c r="D13" s="20">
        <f>D9+D10+D11+D12</f>
        <v>36693116665.754814</v>
      </c>
      <c r="E13" s="20">
        <f>E9+E10+E11+E12</f>
        <v>39375130927.0915</v>
      </c>
      <c r="F13" s="20">
        <f>F9+F10+F11+F12</f>
        <v>41847522094.21632</v>
      </c>
      <c r="G13" s="20">
        <f>G9+G10+G11+G12</f>
        <v>44043989672.80798</v>
      </c>
      <c r="H13" s="20">
        <f>H9+H10+H11+H12</f>
        <v>45901908283.849884</v>
      </c>
      <c r="I13" s="20">
        <f>I9+I10+I11+I12</f>
        <v>47365178490.807236</v>
      </c>
      <c r="J13" s="20">
        <f>J9+J10+J11+J12</f>
        <v>48386950410.380005</v>
      </c>
      <c r="K13" s="20">
        <f>K9+K10+K11+K12</f>
        <v>48932042368.51704</v>
      </c>
    </row>
    <row r="14" spans="1:11" x14ac:dyDescent="0.25">
      <c r="A14" t="s">
        <v>57</v>
      </c>
      <c r="B14" s="21">
        <f>1/(1+Assumptions!$B$26)^(1-0.5*Assumptions!$B$32)</f>
        <v>0.9511777521683313</v>
      </c>
      <c r="C14" s="21">
        <f>1/(1+Assumptions!$B$26)^(2-0.5*Assumptions!$B$32)</f>
        <v>0.8605677188649019</v>
      </c>
      <c r="D14" s="21">
        <f>1/(1+Assumptions!$B$26)^(3-0.5*Assumptions!$B$32)</f>
        <v>0.7785892774132925</v>
      </c>
      <c r="E14" s="21">
        <f>1/(1+Assumptions!$B$26)^(4-0.5*Assumptions!$B$32)</f>
        <v>0.7044201747452704</v>
      </c>
      <c r="F14" s="21">
        <f>1/(1+Assumptions!$B$26)^(5-0.5*Assumptions!$B$32)</f>
        <v>0.6373164863465737</v>
      </c>
      <c r="G14" s="21">
        <f>1/(1+Assumptions!$B$26)^(6-0.5*Assumptions!$B$32)</f>
        <v>0.5766051546096345</v>
      </c>
      <c r="H14" s="21">
        <f>1/(1+Assumptions!$B$26)^(7-0.5*Assumptions!$B$32)</f>
        <v>0.521677237989417</v>
      </c>
      <c r="I14" s="21">
        <f>1/(1+Assumptions!$B$26)^(8-0.5*Assumptions!$B$32)</f>
        <v>0.4719818032506355</v>
      </c>
      <c r="J14" s="21">
        <f>1/(1+Assumptions!$B$26)^(9-0.5*Assumptions!$B$32)</f>
        <v>0.4270203995449018</v>
      </c>
      <c r="K14" s="21">
        <f>1/(1+Assumptions!$B$26)^(10-0.5*Assumptions!$B$32)</f>
        <v>0.3863420588921655</v>
      </c>
    </row>
    <row r="15" spans="1:11" x14ac:dyDescent="0.25">
      <c r="A15" s="19" t="s">
        <v>58</v>
      </c>
      <c r="B15" s="20">
        <f>B13*B14</f>
        <v>29447911236.34502</v>
      </c>
      <c r="C15" s="20">
        <f>C13*C14</f>
        <v>29146266313.871765</v>
      </c>
      <c r="D15" s="20">
        <f>D13*D14</f>
        <v>28568867190.831684</v>
      </c>
      <c r="E15" s="20">
        <f>E13*E14</f>
        <v>27736636608.279694</v>
      </c>
      <c r="F15" s="20">
        <f>F13*F14</f>
        <v>26670115743.396553</v>
      </c>
      <c r="G15" s="20">
        <f>G13*G14</f>
        <v>25395991474.914593</v>
      </c>
      <c r="H15" s="20">
        <f>H13*H14</f>
        <v>23945980731.96235</v>
      </c>
      <c r="I15" s="20">
        <f>I13*I14</f>
        <v>22355502355.379414</v>
      </c>
      <c r="J15" s="20">
        <f>J13*J14</f>
        <v>20662214896.99982</v>
      </c>
      <c r="K15" s="20">
        <f>K13*K14</f>
        <v>18904505994.451546</v>
      </c>
    </row>
    <row r="17" spans="1:2" x14ac:dyDescent="0.25">
      <c r="A17" s="22" t="s">
        <v>59</v>
      </c>
      <c r="B17" s="23">
        <f>SUM(B15:K15)</f>
        <v>252833992546.4324</v>
      </c>
    </row>
    <row r="19" spans="1:11" x14ac:dyDescent="0.25">
      <c r="A19" t="s">
        <v>7</v>
      </c>
      <c r="B19" s="9">
        <f>Assumptions!$B$10+($B$20-Assumptions!$B$10)*0/9</f>
        <v>0.01243346582621872</v>
      </c>
      <c r="C19" s="9">
        <f>Assumptions!$B$10+($B$20-Assumptions!$B$10)*1/9</f>
        <v>0.019894529557061554</v>
      </c>
      <c r="D19" s="9">
        <f>Assumptions!$B$10+($B$20-Assumptions!$B$10)*2/9</f>
        <v>0.027355593287904392</v>
      </c>
      <c r="E19" s="9">
        <f>Assumptions!$B$10+($B$20-Assumptions!$B$10)*3/9</f>
        <v>0.03481665701874723</v>
      </c>
      <c r="F19" s="9">
        <f>Assumptions!$B$10+($B$20-Assumptions!$B$10)*4/9</f>
        <v>0.04227772074959006</v>
      </c>
      <c r="G19" s="9">
        <f>Assumptions!$B$10+($B$20-Assumptions!$B$10)*5/9</f>
        <v>0.049738784480432896</v>
      </c>
      <c r="H19" s="9">
        <f>Assumptions!$B$10+($B$20-Assumptions!$B$10)*6/9</f>
        <v>0.05719984821127573</v>
      </c>
      <c r="I19" s="9">
        <f>Assumptions!$B$10+($B$20-Assumptions!$B$10)*7/9</f>
        <v>0.06466091194211858</v>
      </c>
      <c r="J19" s="9">
        <f>Assumptions!$B$10+($B$20-Assumptions!$B$10)*8/9</f>
        <v>0.0721219756729614</v>
      </c>
      <c r="K19" s="9">
        <f>Assumptions!$B$10+($B$20-Assumptions!$B$10)*9/9</f>
        <v>0.07958303940380425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0.07958303940380425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48932042368.51704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50464360696.41524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0.12634798861498744</v>
      </c>
    </row>
    <row r="7" spans="1:2" x14ac:dyDescent="0.25">
      <c r="A7" t="s">
        <v>66</v>
      </c>
      <c r="B7" s="18">
        <f>-MAX(B5,0)*B6</f>
        <v>-6376070470.733293</v>
      </c>
    </row>
    <row r="8" spans="1:2" x14ac:dyDescent="0.25">
      <c r="A8" t="s">
        <v>67</v>
      </c>
      <c r="B8" s="18">
        <f>IF(OR(Assumptions!$B$33=0,Assumptions!B12&lt;=0),B5,MAX(B5+B7,0))</f>
        <v>44088290225.681946</v>
      </c>
    </row>
    <row r="9" spans="1:2" x14ac:dyDescent="0.25">
      <c r="A9" t="s">
        <v>68</v>
      </c>
      <c r="B9" s="18">
        <f>B8*(1+Assumptions!B12)/(Assumptions!B26-Assumptions!B12)</f>
        <v>562833929584.1965</v>
      </c>
    </row>
    <row r="10" spans="1:2" x14ac:dyDescent="0.25">
      <c r="A10" t="s">
        <v>69</v>
      </c>
      <c r="B10" s="18">
        <f>B9/(1+Assumptions!B26)^(10-0.5*Assumptions!B32)</f>
        <v>217446419169.92657</v>
      </c>
    </row>
    <row r="11" spans="1:2" x14ac:dyDescent="0.25">
      <c r="A11" t="s">
        <v>70</v>
      </c>
      <c r="B11" s="18">
        <f>Forecast!B17+B10</f>
        <v>470280411716.359</v>
      </c>
    </row>
    <row r="12" spans="1:2" x14ac:dyDescent="0.25">
      <c r="A12" t="s">
        <v>71</v>
      </c>
      <c r="B12" s="18">
        <f>-Assumptions!B30</f>
        <v>-5400477000</v>
      </c>
    </row>
    <row r="13" spans="1:2" x14ac:dyDescent="0.25">
      <c r="A13" t="s">
        <v>72</v>
      </c>
      <c r="B13" s="18">
        <f>B11+B12</f>
        <v>464879934716.359</v>
      </c>
    </row>
    <row r="14" spans="1:2" x14ac:dyDescent="0.25">
      <c r="A14" s="19" t="s">
        <v>73</v>
      </c>
      <c r="B14" s="24">
        <f>B13/Assumptions!B31</f>
        <v>107.01993472546418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59024474007.410645</v>
      </c>
    </row>
    <row r="18" spans="1:2" x14ac:dyDescent="0.25">
      <c r="A18" t="s">
        <v>68</v>
      </c>
      <c r="B18" s="18">
        <f>B17*Assumptions!B13</f>
        <v>517796370256.56494</v>
      </c>
    </row>
    <row r="19" spans="1:2" x14ac:dyDescent="0.25">
      <c r="A19" t="s">
        <v>69</v>
      </c>
      <c r="B19" s="18">
        <f>B18/(1+Assumptions!B26)^(10-0.5*Assumptions!B32)</f>
        <v>200046515771.81134</v>
      </c>
    </row>
    <row r="20" spans="1:2" x14ac:dyDescent="0.25">
      <c r="A20" t="s">
        <v>70</v>
      </c>
      <c r="B20" s="18">
        <f>Forecast!B17+B19</f>
        <v>452880508318.2438</v>
      </c>
    </row>
    <row r="21" spans="1:2" x14ac:dyDescent="0.25">
      <c r="A21" t="s">
        <v>71</v>
      </c>
      <c r="B21" s="18">
        <f>-Assumptions!B30</f>
        <v>-5400477000</v>
      </c>
    </row>
    <row r="22" spans="1:2" x14ac:dyDescent="0.25">
      <c r="A22" t="s">
        <v>72</v>
      </c>
      <c r="B22" s="18">
        <f>B20+B21</f>
        <v>447480031318.2438</v>
      </c>
    </row>
    <row r="23" spans="1:2" x14ac:dyDescent="0.25">
      <c r="A23" s="19" t="s">
        <v>73</v>
      </c>
      <c r="B23" s="25">
        <f>B22/Assumptions!B31</f>
        <v>103.01430577305126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62.08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107.01993472546418</v>
      </c>
    </row>
    <row r="29" spans="1:2" x14ac:dyDescent="0.25">
      <c r="A29" s="19" t="s">
        <v>81</v>
      </c>
      <c r="B29" s="11">
        <f>B28/B26-1</f>
        <v>0.7239035877168845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0.085291</v>
      </c>
      <c r="B5" s="31">
        <v>134.90353530634988</v>
      </c>
      <c r="C5" s="31">
        <v>137.87766397984456</v>
      </c>
      <c r="D5" s="31">
        <v>141.44745696304932</v>
      </c>
      <c r="E5" s="31">
        <v>145.77451315353628</v>
      </c>
      <c r="F5" s="31">
        <v>151.08469698250045</v>
      </c>
    </row>
    <row r="6" spans="1:6" x14ac:dyDescent="0.25">
      <c r="A6" s="30">
        <v>0.095291</v>
      </c>
      <c r="B6" s="31">
        <v>118.05227133006098</v>
      </c>
      <c r="C6" s="31">
        <v>119.76636990932316</v>
      </c>
      <c r="D6" s="31">
        <v>121.80738654737584</v>
      </c>
      <c r="E6" s="31">
        <v>124.2504276276695</v>
      </c>
      <c r="F6" s="31">
        <v>127.19551415887226</v>
      </c>
    </row>
    <row r="7" spans="1:6" x14ac:dyDescent="0.25">
      <c r="A7" s="30">
        <v>0.105291</v>
      </c>
      <c r="B7" s="31">
        <v>104.92382320916329</v>
      </c>
      <c r="C7" s="31">
        <v>105.87803331282386</v>
      </c>
      <c r="D7" s="32">
        <v>107.01993113474653</v>
      </c>
      <c r="E7" s="31">
        <v>108.38690913583544</v>
      </c>
      <c r="F7" s="31">
        <v>110.02699910803393</v>
      </c>
    </row>
    <row r="8" spans="1:6" x14ac:dyDescent="0.25">
      <c r="A8" s="30">
        <v>0.115291</v>
      </c>
      <c r="B8" s="31">
        <v>94.40655669381334</v>
      </c>
      <c r="C8" s="31">
        <v>94.88613653975074</v>
      </c>
      <c r="D8" s="31">
        <v>95.4768380609533</v>
      </c>
      <c r="E8" s="31">
        <v>96.19820405946321</v>
      </c>
      <c r="F8" s="31">
        <v>97.07464533050798</v>
      </c>
    </row>
    <row r="9" spans="1:6" x14ac:dyDescent="0.25">
      <c r="A9" s="30">
        <v>0.125291</v>
      </c>
      <c r="B9" s="31">
        <v>85.79175135583594</v>
      </c>
      <c r="C9" s="31">
        <v>85.96777328845928</v>
      </c>
      <c r="D9" s="31">
        <v>86.21086871415399</v>
      </c>
      <c r="E9" s="31">
        <v>86.53159584299327</v>
      </c>
      <c r="F9" s="31">
        <v>86.94285159213567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45183036000</v>
      </c>
      <c r="C5" s="18">
        <v>39000966000</v>
      </c>
      <c r="D5" s="18">
        <v>33723297000</v>
      </c>
      <c r="E5" s="18">
        <v>31615550000</v>
      </c>
      <c r="F5" s="6" t="s">
        <v>91</v>
      </c>
    </row>
    <row r="6" spans="1:6" x14ac:dyDescent="0.25">
      <c r="A6" t="s">
        <v>51</v>
      </c>
      <c r="B6" s="18">
        <v>13326603000</v>
      </c>
      <c r="C6" s="18">
        <v>10417614000</v>
      </c>
      <c r="D6" s="18">
        <v>6954003000</v>
      </c>
      <c r="E6" s="18">
        <v>5632831000</v>
      </c>
      <c r="F6" s="6" t="s">
        <v>92</v>
      </c>
    </row>
    <row r="7" spans="1:6" x14ac:dyDescent="0.25">
      <c r="A7" t="s">
        <v>93</v>
      </c>
      <c r="B7" s="18">
        <v>16755555000</v>
      </c>
      <c r="C7" s="18">
        <v>15630431000</v>
      </c>
      <c r="D7" s="18">
        <v>14554384000</v>
      </c>
      <c r="E7" s="18">
        <v>14362814000</v>
      </c>
      <c r="F7" s="6" t="s">
        <v>94</v>
      </c>
    </row>
    <row r="8" spans="1:6" x14ac:dyDescent="0.25">
      <c r="A8" t="s">
        <v>95</v>
      </c>
      <c r="B8" s="18">
        <v>688220000</v>
      </c>
      <c r="C8" s="18">
        <v>439538000</v>
      </c>
      <c r="D8" s="18">
        <v>348552000</v>
      </c>
      <c r="E8" s="18">
        <v>407729000</v>
      </c>
      <c r="F8" s="6" t="s">
        <v>96</v>
      </c>
    </row>
    <row r="9" spans="1:6" x14ac:dyDescent="0.25">
      <c r="A9" t="s">
        <v>97</v>
      </c>
      <c r="B9" s="18">
        <v>456220000</v>
      </c>
      <c r="C9" s="18">
        <v>33075000</v>
      </c>
      <c r="D9" s="18">
        <v>116148000</v>
      </c>
      <c r="E9" s="18">
        <v>758087000</v>
      </c>
      <c r="F9" s="6" t="s">
        <v>98</v>
      </c>
    </row>
    <row r="10" spans="1:6" x14ac:dyDescent="0.25">
      <c r="A10" t="s">
        <v>99</v>
      </c>
      <c r="B10" s="18">
        <v>14462836000</v>
      </c>
      <c r="C10" s="18">
        <v>15582804000</v>
      </c>
      <c r="D10" s="18">
        <v>14543261000</v>
      </c>
      <c r="E10" s="18">
        <v>14353076000</v>
      </c>
      <c r="F10" s="6" t="s">
        <v>100</v>
      </c>
    </row>
    <row r="11" spans="1:6" x14ac:dyDescent="0.25">
      <c r="A11" t="s">
        <v>101</v>
      </c>
      <c r="B11" s="18">
        <v>9062359000</v>
      </c>
      <c r="C11" s="18">
        <v>9583739000</v>
      </c>
      <c r="D11" s="18">
        <v>7137886000</v>
      </c>
      <c r="E11" s="18">
        <v>6058452000</v>
      </c>
      <c r="F11" s="6" t="s">
        <v>102</v>
      </c>
    </row>
    <row r="12" spans="1:6" x14ac:dyDescent="0.25">
      <c r="A12" t="s">
        <v>34</v>
      </c>
      <c r="B12" s="34">
        <v>4343863000</v>
      </c>
      <c r="C12" s="34">
        <v>4392610000</v>
      </c>
      <c r="D12" s="34">
        <v>4494980000</v>
      </c>
      <c r="E12" s="34">
        <v>4512900000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