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<sst xmlns="http://schemas.openxmlformats.org/spreadsheetml/2006/main" count="114" uniqueCount="102">
  <si>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National Grid plc (NG.L)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</si>
  <si>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</si>
  <si>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</si>
  <si>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</si>
  <si>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</si>
  <si>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</si>
  <si>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</si>
  <si>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</si>
  <si>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</si>
  <si>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</si>
  <si>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</si>
  <si>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</si>
  <si>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</si>
  <si>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</si>
  <si>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</si>
  <si>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</si>
  <si>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</si>
  <si>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</si>
  <si>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</si>
  <si>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</si>
  <si>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</si>
  <si>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</si>
  <si>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</si>
  <si>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</si>
  <si>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</si>
  <si>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</si>
  <si>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</si>
  <si>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</si>
  <si>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</si>
  <si>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</si>
  <si>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2026-03-31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</si>
  <si>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</si>
  <si>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</si>
  <si>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</si>
  <si>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</si>
  <si>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</si>
  <si>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</si>
  <si>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</si>
  <si>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</si>
  <si>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</si>
  <si>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</si>
  <si>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</si>
  <si>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</si>
  <si>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</si>
  <si>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</si>
  <si>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</si>
  <si>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</si>
  <si>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</si>
  <si>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</si>
  <si>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</si>
  <si>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</si>
  <si>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</si>
  <si>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</si>
  <si>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</si>
  <si>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</si>
  <si>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</si>
  <si>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</si>
  <si>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</si>
  <si>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</si>
  <si>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</si>
  <si>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</si>
  <si>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</si>
  <si>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</si>
  <si>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</si>
  <si>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</si>
  <si>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</si>
  <si>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</si>
  <si>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</si>
  <si>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</si>
  <si>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</si>
  <si>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</si>
  <si>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</si>
  <si>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</si>
  <si>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</si>
  <si>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</si>
  <si>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</si>
  <si>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</si>
  <si>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</si>
  <si>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</si>
  <si>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</si>
  <si>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</si>
  <si>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</si>
  <si>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</si>
  <si>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</si>
  <si>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</si>
  <si>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</si>
  <si>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</si>
  <si>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</si>
  <si>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</si>
  <si>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</si>
  <si>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</si>
  <si>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</si>
  <si>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</si>
  <si>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</si>
  <si>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</si>
  <si>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</si>
  <si>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</si>
  <si>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</si>
  <si>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</si>
  <si>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44.9% of revenue against depreciation of 11.4%.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</si>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</sst>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-0.06530068408234768</v>
      </c>
    </row>
    <row r="7" spans="1:2" x14ac:dyDescent="0.25">
      <c r="A7" t="s">
        <v>5</v>
      </c>
      <c r="B7" s="6">
        <v>0.2696394996984247</v>
      </c>
    </row>
    <row r="8" spans="1:2" x14ac:dyDescent="0.25">
      <c r="A8" t="s">
        <v>6</v>
      </c>
      <c r="B8" s="6">
        <v>0.2344713244552982</v>
      </c>
    </row>
    <row r="9" spans="1:2" x14ac:dyDescent="0.25">
      <c r="A9" t="s">
        <v>7</v>
      </c>
      <c r="B9" s="6">
        <v>0.11434059035788235</v>
      </c>
    </row>
    <row r="10" spans="1:2" x14ac:dyDescent="0.25">
      <c r="A10" t="s">
        <v>8</v>
      </c>
      <c r="B10" s="6">
        <v>0.449483491527439</v>
      </c>
    </row>
    <row r="11" spans="1:2" x14ac:dyDescent="0.25">
      <c r="A11" t="s">
        <v>9</v>
      </c>
      <c r="B11" s="6">
        <v>0.4002211166390271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12.80522372080131</v>
      </c>
    </row>
    <row r="14" spans="1:3" x14ac:dyDescent="0.25">
      <c r="A14" t="s">
        <v>12</v>
      </c>
      <c r="B14" s="6">
        <v>0.06229427362905832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0.7246299999999999</v>
      </c>
      <c r="C19" s="8" t="s">
        <v>19</v>
      </c>
    </row>
    <row r="20" spans="1:2" x14ac:dyDescent="0.25">
      <c r="A20" t="s">
        <v>20</v>
      </c>
      <c r="B20" s="10">
        <f>B17+B19*B18</f>
        <v>0.08485464999999999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57708060672</v>
      </c>
    </row>
    <row r="23" spans="1:2" x14ac:dyDescent="0.25">
      <c r="A23" t="s">
        <v>24</v>
      </c>
      <c r="B23" s="11">
        <v>46755000000</v>
      </c>
    </row>
    <row r="24" spans="1:2" x14ac:dyDescent="0.25">
      <c r="A24" t="s">
        <v>25</v>
      </c>
      <c r="B24" s="10">
        <f>B22/(B22+B23)</f>
        <v>0.5524255205693769</v>
      </c>
    </row>
    <row r="25" spans="1:2" x14ac:dyDescent="0.25">
      <c r="A25" t="s">
        <v>26</v>
      </c>
      <c r="B25" s="10">
        <f>1-B24</f>
        <v>0.4475744794306231</v>
      </c>
    </row>
    <row r="26" spans="1:2" x14ac:dyDescent="0.25">
      <c r="A26" t="s">
        <v>27</v>
      </c>
      <c r="B26" s="12">
        <f>B24*B20+B25*B21*(1-B8)</f>
        <v>0.06229427362905832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17687000000</v>
      </c>
      <c r="C29" s="8" t="s">
        <v>30</v>
      </c>
    </row>
    <row r="30" spans="1:2" x14ac:dyDescent="0.25">
      <c r="A30" t="s">
        <v>31</v>
      </c>
      <c r="B30" s="11">
        <v>43927000000</v>
      </c>
    </row>
    <row r="31" spans="1:2" x14ac:dyDescent="0.25">
      <c r="A31" t="s">
        <v>32</v>
      </c>
      <c r="B31" s="13">
        <v>4971000000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-0.06530068408234768</v>
      </c>
      <c r="C5" s="10">
        <f>Assumptions!B6</f>
        <v>-0.06530068408234768</v>
      </c>
      <c r="D5" s="10">
        <f>Assumptions!B6</f>
        <v>-0.06530068408234768</v>
      </c>
      <c r="E5" s="10">
        <f>Assumptions!B6</f>
        <v>-0.06530068408234768</v>
      </c>
      <c r="F5" s="10">
        <f>Assumptions!B6</f>
        <v>-0.06530068408234768</v>
      </c>
    </row>
    <row r="6" spans="1:6" x14ac:dyDescent="0.25">
      <c r="A6" t="s">
        <v>43</v>
      </c>
      <c r="B6" s="18">
        <f>Assumptions!B29*(1+B5)</f>
        <v>16532026800.635517</v>
      </c>
      <c r="C6" s="18">
        <f>B6*(1+C5)</f>
        <v>15452474141.286312</v>
      </c>
      <c r="D6" s="18">
        <f>C6*(1+D5)</f>
        <v>14443417009.095528</v>
      </c>
      <c r="E6" s="18">
        <f>D6*(1+E5)</f>
        <v>13500251997.914974</v>
      </c>
      <c r="F6" s="18">
        <f>E6*(1+F5)</f>
        <v>12618676307.167046</v>
      </c>
    </row>
    <row r="7" spans="1:6" x14ac:dyDescent="0.25">
      <c r="A7" t="s">
        <v>5</v>
      </c>
      <c r="B7" s="10">
        <f>Assumptions!B7</f>
        <v>0.2696394996984247</v>
      </c>
      <c r="C7" s="10">
        <f>Assumptions!B7</f>
        <v>0.2696394996984247</v>
      </c>
      <c r="D7" s="10">
        <f>Assumptions!B7</f>
        <v>0.2696394996984247</v>
      </c>
      <c r="E7" s="10">
        <f>Assumptions!B7</f>
        <v>0.2696394996984247</v>
      </c>
      <c r="F7" s="10">
        <f>Assumptions!B7</f>
        <v>0.2696394996984247</v>
      </c>
    </row>
    <row r="8" spans="1:6" x14ac:dyDescent="0.25">
      <c r="A8" t="s">
        <v>44</v>
      </c>
      <c r="B8" s="18">
        <f>B6*B7</f>
        <v>4457687435.52431</v>
      </c>
      <c r="C8" s="18">
        <f>C6*C7</f>
        <v>4166597396.559286</v>
      </c>
      <c r="D8" s="18">
        <f>D6*D7</f>
        <v>3894515736.2682357</v>
      </c>
      <c r="E8" s="18">
        <f>E6*E7</f>
        <v>3640201194.5204525</v>
      </c>
      <c r="F8" s="18">
        <f>F6*F7</f>
        <v>3402493566.3208876</v>
      </c>
    </row>
    <row r="9" spans="1:6" x14ac:dyDescent="0.25">
      <c r="A9" t="s">
        <v>45</v>
      </c>
      <c r="B9" s="18">
        <f>B8*(1-Assumptions!B8)</f>
        <v>3412487558.5091834</v>
      </c>
      <c r="C9" s="18">
        <f>C8*(1-Assumptions!B8)</f>
        <v>3189649786.516033</v>
      </c>
      <c r="D9" s="18">
        <f>D8*(1-Assumptions!B8)</f>
        <v>2981363473.4734216</v>
      </c>
      <c r="E9" s="18">
        <f>E8*(1-Assumptions!B8)</f>
        <v>2786678399.1574836</v>
      </c>
      <c r="F9" s="18">
        <f>F8*(1-Assumptions!B8)</f>
        <v>2604706393.374998</v>
      </c>
    </row>
    <row r="10" spans="1:6" x14ac:dyDescent="0.25">
      <c r="A10" t="s">
        <v>46</v>
      </c>
      <c r="B10" s="18">
        <f>B6*Assumptions!B9</f>
        <v>1890281704.1969981</v>
      </c>
      <c r="C10" s="18">
        <f>C6*Assumptions!B9</f>
        <v>1766845015.804588</v>
      </c>
      <c r="D10" s="18">
        <f>D6*Assumptions!B9</f>
        <v>1651468827.605062</v>
      </c>
      <c r="E10" s="18">
        <f>E6*Assumptions!B9</f>
        <v>1543626783.421779</v>
      </c>
      <c r="F10" s="18">
        <f>F6*Assumptions!B9</f>
        <v>1442826898.4965029</v>
      </c>
    </row>
    <row r="11" spans="1:6" x14ac:dyDescent="0.25">
      <c r="A11" t="s">
        <v>47</v>
      </c>
      <c r="B11" s="18">
        <f>-B6*Assumptions!B10</f>
        <v>-7430873128.374848</v>
      </c>
      <c r="C11" s="18">
        <f>-C6*Assumptions!B10</f>
        <v>-6945632029.762836</v>
      </c>
      <c r="D11" s="18">
        <f>-D6*Assumptions!B10</f>
        <v>-6492077506.835058</v>
      </c>
      <c r="E11" s="18">
        <f>-E6*Assumptions!B10</f>
        <v>-6068140404.523107</v>
      </c>
      <c r="F11" s="18">
        <f>-F6*Assumptions!B10</f>
        <v>-5671886685.000014</v>
      </c>
    </row>
    <row r="12" spans="1:6" x14ac:dyDescent="0.25">
      <c r="A12" t="s">
        <v>48</v>
      </c>
      <c r="B12" s="18">
        <f>-(B6-Assumptions!B29)*Assumptions!B11</f>
        <v>462244663.537803</v>
      </c>
      <c r="C12" s="18">
        <f>-(C6-B6)*Assumptions!B11</f>
        <v>432059770.79537004</v>
      </c>
      <c r="D12" s="18">
        <f>-(D6-C6)*Assumptions!B11</f>
        <v>403845972.19797015</v>
      </c>
      <c r="E12" s="18">
        <f>-(E6-D6)*Assumptions!B11</f>
        <v>377474553.94954157</v>
      </c>
      <c r="F12" s="18">
        <f>-(F6-E6)*Assumptions!B11</f>
        <v>352825207.3529576</v>
      </c>
    </row>
    <row r="13" spans="1:6" x14ac:dyDescent="0.25">
      <c r="A13" s="19" t="s">
        <v>49</v>
      </c>
      <c r="B13" s="20">
        <f>B9+B10+B11+B12</f>
        <v>-1665859202.130864</v>
      </c>
      <c r="C13" s="20">
        <f>C9+C10+C11+C12</f>
        <v>-1557077456.6468449</v>
      </c>
      <c r="D13" s="20">
        <f>D9+D10+D11+D12</f>
        <v>-1455399233.5586045</v>
      </c>
      <c r="E13" s="20">
        <f>E9+E10+E11+E12</f>
        <v>-1360360667.9943023</v>
      </c>
      <c r="F13" s="20">
        <f>F9+F10+F11+F12</f>
        <v>-1271528185.7755556</v>
      </c>
    </row>
    <row r="14" spans="1:6" x14ac:dyDescent="0.25">
      <c r="A14" t="s">
        <v>50</v>
      </c>
      <c r="B14" s="21">
        <f>1/(1+Assumptions!$B$26)^(1-0.5*Assumptions!$B$32)</f>
        <v>0.9702364356200731</v>
      </c>
      <c r="C14" s="21">
        <f>1/(1+Assumptions!$B$26)^(2-0.5*Assumptions!$B$32)</f>
        <v>0.9133405495122431</v>
      </c>
      <c r="D14" s="21">
        <f>1/(1+Assumptions!$B$26)^(3-0.5*Assumptions!$B$32)</f>
        <v>0.8597811097974267</v>
      </c>
      <c r="E14" s="21">
        <f>1/(1+Assumptions!$B$26)^(4-0.5*Assumptions!$B$32)</f>
        <v>0.8093624630585676</v>
      </c>
      <c r="F14" s="21">
        <f>1/(1+Assumptions!$B$26)^(5-0.5*Assumptions!$B$32)</f>
        <v>0.7619004292413123</v>
      </c>
    </row>
    <row r="15" spans="1:6" x14ac:dyDescent="0.25">
      <c r="A15" s="19" t="s">
        <v>51</v>
      </c>
      <c r="B15" s="20">
        <f>B13*B14</f>
        <v>-1616277294.5203483</v>
      </c>
      <c r="C15" s="20">
        <f>C13*C14</f>
        <v>-1422141979.8869553</v>
      </c>
      <c r="D15" s="20">
        <f>D13*D14</f>
        <v>-1251324768.2273412</v>
      </c>
      <c r="E15" s="20">
        <f>E13*E14</f>
        <v>-1101024860.8958669</v>
      </c>
      <c r="F15" s="20">
        <f>F13*F14</f>
        <v>-968777870.534823</v>
      </c>
    </row>
    <row r="17" spans="1:2" x14ac:dyDescent="0.25">
      <c r="A17" s="22" t="s">
        <v>52</v>
      </c>
      <c r="B17" s="23">
        <f>SUM(B15:F15)</f>
        <v>-6359546774.065334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-1271528185.7755556</v>
      </c>
    </row>
    <row r="5" spans="1:2" x14ac:dyDescent="0.25">
      <c r="A5" t="s">
        <v>56</v>
      </c>
      <c r="B5" s="18">
        <f>IF(Assumptions!$B$33=0,B4,B4-Forecast!F11-Forecast!F10-Forecast!F12)</f>
        <v>2679792379.192858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0.40132099699671736</v>
      </c>
    </row>
    <row r="7" spans="1:2" x14ac:dyDescent="0.25">
      <c r="A7" t="s">
        <v>58</v>
      </c>
      <c r="B7" s="18">
        <f>-MAX(Forecast!F9,0)*B6</f>
        <v>-1075456949.3618832</v>
      </c>
    </row>
    <row r="8" spans="1:2" x14ac:dyDescent="0.25">
      <c r="A8" t="s">
        <v>59</v>
      </c>
      <c r="B8" s="18">
        <f>IF(OR(Assumptions!$B$33=0,Assumptions!B12&lt;=0),B5,MAX(B5+B7,0))</f>
        <v>1604335429.830975</v>
      </c>
    </row>
    <row r="9" spans="1:2" x14ac:dyDescent="0.25">
      <c r="A9" t="s">
        <v>60</v>
      </c>
      <c r="B9" s="18">
        <f>B8*(1+Assumptions!B12)/(Assumptions!B26-Assumptions!B12)</f>
        <v>44093734923.8372</v>
      </c>
    </row>
    <row r="10" spans="1:2" x14ac:dyDescent="0.25">
      <c r="A10" t="s">
        <v>61</v>
      </c>
      <c r="B10" s="18">
        <f>B9/(1+Assumptions!B26)^(5-0.5*Assumptions!B32)</f>
        <v>33595035565.324203</v>
      </c>
    </row>
    <row r="11" spans="1:2" x14ac:dyDescent="0.25">
      <c r="A11" t="s">
        <v>62</v>
      </c>
      <c r="B11" s="18">
        <f>Forecast!B17+B10</f>
        <v>27235488791.25887</v>
      </c>
    </row>
    <row r="12" spans="1:2" x14ac:dyDescent="0.25">
      <c r="A12" t="s">
        <v>63</v>
      </c>
      <c r="B12" s="18">
        <f>-Assumptions!B30</f>
        <v>-43927000000</v>
      </c>
    </row>
    <row r="13" spans="1:2" x14ac:dyDescent="0.25">
      <c r="A13" t="s">
        <v>64</v>
      </c>
      <c r="B13" s="18">
        <f>B11+B12</f>
        <v>-16691511208.74113</v>
      </c>
    </row>
    <row r="14" spans="1:2" x14ac:dyDescent="0.25">
      <c r="A14" s="19" t="s">
        <v>65</v>
      </c>
      <c r="B14" s="24">
        <f>B13/Assumptions!B31</f>
        <v>-3.3577773503804327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4845320464.81739</v>
      </c>
    </row>
    <row r="18" spans="1:2" x14ac:dyDescent="0.25">
      <c r="A18" t="s">
        <v>60</v>
      </c>
      <c r="B18" s="18">
        <f>B17*Assumptions!B13</f>
        <v>62045412550.96368</v>
      </c>
    </row>
    <row r="19" spans="1:2" x14ac:dyDescent="0.25">
      <c r="A19" t="s">
        <v>61</v>
      </c>
      <c r="B19" s="18">
        <f>B18/(1+Assumptions!B26)^(5-0.5*Assumptions!B32)</f>
        <v>47272426455.03353</v>
      </c>
    </row>
    <row r="20" spans="1:2" x14ac:dyDescent="0.25">
      <c r="A20" t="s">
        <v>62</v>
      </c>
      <c r="B20" s="18">
        <f>Forecast!B17+B19</f>
        <v>40912879680.9682</v>
      </c>
    </row>
    <row r="21" spans="1:2" x14ac:dyDescent="0.25">
      <c r="A21" t="s">
        <v>63</v>
      </c>
      <c r="B21" s="18">
        <f>-Assumptions!B30</f>
        <v>-43927000000</v>
      </c>
    </row>
    <row r="22" spans="1:2" x14ac:dyDescent="0.25">
      <c r="A22" t="s">
        <v>64</v>
      </c>
      <c r="B22" s="18">
        <f>B20+B21</f>
        <v>-3014120319.0317993</v>
      </c>
    </row>
    <row r="23" spans="1:2" x14ac:dyDescent="0.25">
      <c r="A23" s="19" t="s">
        <v>65</v>
      </c>
      <c r="B23" s="25">
        <f>B22/Assumptions!B31</f>
        <v>-0.6063408406823173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1148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-335.77773503804326</v>
      </c>
    </row>
    <row r="29" spans="1:2" x14ac:dyDescent="0.25">
      <c r="A29" s="19" t="s">
        <v>73</v>
      </c>
      <c r="B29" s="12">
        <f>B28/B26-1</f>
        <v>-1.2924893162352293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0.042294</v>
      </c>
      <c r="B5" s="31">
        <v>1.498569231897901</v>
      </c>
      <c r="C5" s="31">
        <v>2.1493972708803866</v>
      </c>
      <c r="D5" s="31">
        <v>3.1508121005999317</v>
      </c>
      <c r="E5" s="31">
        <v>4.93056724806614</v>
      </c>
      <c r="F5" s="31">
        <v>9.089307731951886</v>
      </c>
    </row>
    <row r="6" spans="1:6" x14ac:dyDescent="0.25">
      <c r="A6" s="30">
        <v>0.052294</v>
      </c>
      <c r="B6" s="31">
        <v>-1.8248791883885782</v>
      </c>
      <c r="C6" s="31">
        <v>-1.7839004481951188</v>
      </c>
      <c r="D6" s="31">
        <v>-1.7429217080016626</v>
      </c>
      <c r="E6" s="31">
        <v>-1.7019429678082019</v>
      </c>
      <c r="F6" s="31">
        <v>-1.6609642276147456</v>
      </c>
    </row>
    <row r="7" spans="1:6" x14ac:dyDescent="0.25">
      <c r="A7" s="30">
        <v>0.062294</v>
      </c>
      <c r="B7" s="31">
        <v>-3.423674641568052</v>
      </c>
      <c r="C7" s="31">
        <v>-3.390707606350165</v>
      </c>
      <c r="D7" s="32">
        <v>-3.3577405711322785</v>
      </c>
      <c r="E7" s="31">
        <v>-3.32477353591439</v>
      </c>
      <c r="F7" s="31">
        <v>-3.291806500696505</v>
      </c>
    </row>
    <row r="8" spans="1:6" x14ac:dyDescent="0.25">
      <c r="A8" s="30">
        <v>0.072294</v>
      </c>
      <c r="B8" s="31">
        <v>-4.560932812629738</v>
      </c>
      <c r="C8" s="31">
        <v>-4.53369873365111</v>
      </c>
      <c r="D8" s="31">
        <v>-4.506464654672485</v>
      </c>
      <c r="E8" s="31">
        <v>-4.47923057569386</v>
      </c>
      <c r="F8" s="31">
        <v>-4.451996496715234</v>
      </c>
    </row>
    <row r="9" spans="1:6" x14ac:dyDescent="0.25">
      <c r="A9" s="30">
        <v>0.082294</v>
      </c>
      <c r="B9" s="31">
        <v>-5.4058922128543445</v>
      </c>
      <c r="C9" s="31">
        <v>-5.382946286889754</v>
      </c>
      <c r="D9" s="31">
        <v>-5.360000360925166</v>
      </c>
      <c r="E9" s="31">
        <v>-5.337054434960575</v>
      </c>
      <c r="F9" s="31">
        <v>-5.314108508995988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17687000000</v>
      </c>
      <c r="C5" s="18">
        <v>18378000000</v>
      </c>
      <c r="D5" s="18">
        <v>19850000000</v>
      </c>
      <c r="E5" s="18">
        <v>21659000000</v>
      </c>
      <c r="F5" s="8" t="s">
        <v>84</v>
      </c>
    </row>
    <row r="6" spans="1:6" x14ac:dyDescent="0.25">
      <c r="A6" t="s">
        <v>44</v>
      </c>
      <c r="B6" s="18">
        <v>5690000000</v>
      </c>
      <c r="C6" s="18">
        <v>5447000000</v>
      </c>
      <c r="D6" s="18">
        <v>4666000000</v>
      </c>
      <c r="E6" s="18">
        <v>4882000000</v>
      </c>
      <c r="F6" s="8" t="s">
        <v>85</v>
      </c>
    </row>
    <row r="7" spans="1:6" x14ac:dyDescent="0.25">
      <c r="A7" t="s">
        <v>86</v>
      </c>
      <c r="B7" s="18">
        <v>2247000000</v>
      </c>
      <c r="C7" s="18">
        <v>2479000000</v>
      </c>
      <c r="D7" s="18">
        <v>2061000000</v>
      </c>
      <c r="E7" s="18">
        <v>1984000000</v>
      </c>
      <c r="F7" s="8" t="s">
        <v>87</v>
      </c>
    </row>
    <row r="8" spans="1:6" x14ac:dyDescent="0.25">
      <c r="A8" t="s">
        <v>88</v>
      </c>
      <c r="B8" s="18">
        <v>10575000000</v>
      </c>
      <c r="C8" s="18">
        <v>9306000000</v>
      </c>
      <c r="D8" s="18">
        <v>7453000000</v>
      </c>
      <c r="E8" s="18">
        <v>6892000000</v>
      </c>
      <c r="F8" s="8" t="s">
        <v>89</v>
      </c>
    </row>
    <row r="9" spans="1:6" x14ac:dyDescent="0.25">
      <c r="A9" t="s">
        <v>90</v>
      </c>
      <c r="B9" s="18">
        <v>-562000000</v>
      </c>
      <c r="C9" s="18">
        <v>337000000</v>
      </c>
      <c r="D9" s="18">
        <v>-724000000</v>
      </c>
      <c r="E9" s="18">
        <v>-263000000</v>
      </c>
      <c r="F9" s="8" t="s">
        <v>91</v>
      </c>
    </row>
    <row r="10" spans="1:6" x14ac:dyDescent="0.25">
      <c r="A10" t="s">
        <v>92</v>
      </c>
      <c r="B10" s="18">
        <v>46755000000</v>
      </c>
      <c r="C10" s="18">
        <v>47539000000</v>
      </c>
      <c r="D10" s="18">
        <v>47072000000</v>
      </c>
      <c r="E10" s="18">
        <v>42985000000</v>
      </c>
      <c r="F10" s="8" t="s">
        <v>93</v>
      </c>
    </row>
    <row r="11" spans="1:6" x14ac:dyDescent="0.25">
      <c r="A11" t="s">
        <v>94</v>
      </c>
      <c r="B11" s="18">
        <v>2828000000</v>
      </c>
      <c r="C11" s="18">
        <v>6931000000</v>
      </c>
      <c r="D11" s="18">
        <v>4247000000</v>
      </c>
      <c r="E11" s="18">
        <v>2731000000</v>
      </c>
      <c r="F11" s="8" t="s">
        <v>95</v>
      </c>
    </row>
    <row r="12" spans="1:6" x14ac:dyDescent="0.25">
      <c r="A12" t="s">
        <v>32</v>
      </c>
      <c r="B12" s="34">
        <v>4971000000</v>
      </c>
      <c r="C12" s="34">
        <v>4729000000</v>
      </c>
      <c r="D12" s="34">
        <v>4035407543</v>
      </c>
      <c r="E12" s="34">
        <v>3999503405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2026-09-19T00:07:43Z</dcterms:modified>
</cp:coreProperties>
</file>