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<sst xmlns="http://schemas.openxmlformats.org/spreadsheetml/2006/main" count="113" uniqueCount="101">
  <si>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New Hope Corporation Limited (NHC.AX)</t>
  </si>
  <si>
    <t>DCF Studio - Base case</t>
  </si>
  <si>
    <t>Blue figures on a cream fill are inputs. Every other figure is a formula - change an input and the model reprices. Currency figures are AUD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</si>
  <si>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</si>
  <si>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</si>
  <si>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</si>
  <si>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</si>
  <si>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</si>
  <si>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</si>
  <si>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</si>
  <si>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</si>
  <si>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</si>
  <si>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</si>
  <si>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</si>
  <si>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</si>
  <si>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</si>
  <si>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Australian Government 10-year (RBA F2)</t>
  </si>
  <si>
    <t>Equity risk premium</t>
  </si>
  <si>
    <t>Beta</t>
  </si>
  <si>
    <t>Clamped from a reported -0.499</t>
  </si>
  <si>
    <t>Cost of equity</t>
  </si>
  <si>
    <t>Cost of debt</t>
  </si>
  <si>
    <t>Interest expense / average total debt</t>
  </si>
  <si>
    <t>Market capitalisation (AUD m)</t>
  </si>
  <si>
    <t>Total debt (AUD m)</t>
  </si>
  <si>
    <t>Equity weight</t>
  </si>
  <si>
    <t>Debt weight</t>
  </si>
  <si>
    <t>WACC</t>
  </si>
  <si>
    <t>Base year</t>
  </si>
  <si>
    <t>Revenue, last reported year (AUD m)</t>
  </si>
  <si>
    <t>Fiscal year ended 2026-07-31</t>
  </si>
  <si>
    <t>Net debt (AUD m)</t>
  </si>
  <si>
    <t>Diluted shares</t>
  </si>
  <si>
    <t>Mid-year discounting (1 = yes, 0 = no)</t>
  </si>
  <si>
    <t>Terminal year on a steady-state footing (1 = yes, 0 = no)</t>
  </si>
  <si>
    <t>Forecast cashflows (AUD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</si>
  <si>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</si>
  <si>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</si>
  <si>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</si>
  <si>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</si>
  <si>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</si>
  <si>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</si>
  <si>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</si>
  <si>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</si>
  <si>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</si>
  <si>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</si>
  <si>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</si>
  <si>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</si>
  <si>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</si>
  <si>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</si>
  <si>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</si>
  <si>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</si>
  <si>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</si>
  <si>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(AUD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</si>
  <si>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</si>
  <si>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</si>
  <si>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</si>
  <si>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</si>
  <si>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</si>
  <si>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</si>
  <si>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</si>
  <si>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</si>
  <si>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</si>
  <si>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</si>
  <si>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</si>
  <si>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</si>
  <si>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</si>
  <si>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</si>
  <si>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</si>
  <si>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</si>
  <si>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AUD to AUD</t>
  </si>
  <si>
    <t>Same currency, no conversion</t>
  </si>
  <si>
    <t>Value per share (AUD)</t>
  </si>
  <si>
    <t>Implied upside</t>
  </si>
  <si>
    <t>Value per share (AUD)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</si>
  <si>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</si>
  <si>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(AUD m, except shares)</t>
  </si>
  <si>
    <t>What the model was built from. "derived" means the figure was not reported and was computed - the note says how.</t>
  </si>
  <si>
    <t>Fiscal year end</t>
  </si>
  <si>
    <t>2026-07-31</t>
  </si>
  <si>
    <t>2025-07-31</t>
  </si>
  <si>
    <t>2024-07-31</t>
  </si>
  <si>
    <t>2023-07-31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</si>
  <si>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</si>
  <si>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</si>
  <si>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</si>
  <si>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</si>
  <si>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</si>
  <si>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</si>
  <si>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</si>
  <si>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</si>
  <si>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</si>
  <si>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</si>
  <si>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</si>
  <si>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</si>
  <si>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</si>
  <si>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</si>
  <si>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</si>
  <si>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Some line items were not reported and have been derived. Each one is labelled in the workings below.</t>
  </si>
  <si>
    <t>Adjusted: Beta of -0.499 is not usable in a cost of equity. Clamped to 0.30.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</si>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</sst>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-0.13500874325042334</v>
      </c>
    </row>
    <row r="7" spans="1:2" x14ac:dyDescent="0.25">
      <c r="A7" t="s">
        <v>5</v>
      </c>
      <c r="B7" s="6">
        <v>0.2928865215937272</v>
      </c>
    </row>
    <row r="8" spans="1:2" x14ac:dyDescent="0.25">
      <c r="A8" t="s">
        <v>6</v>
      </c>
      <c r="B8" s="6">
        <v>0.3</v>
      </c>
    </row>
    <row r="9" spans="1:2" x14ac:dyDescent="0.25">
      <c r="A9" t="s">
        <v>7</v>
      </c>
      <c r="B9" s="6">
        <v>0.12490801985287589</v>
      </c>
    </row>
    <row r="10" spans="1:2" x14ac:dyDescent="0.25">
      <c r="A10" t="s">
        <v>8</v>
      </c>
      <c r="B10" s="6">
        <v>0.12799283890665317</v>
      </c>
    </row>
    <row r="11" spans="1:2" x14ac:dyDescent="0.25">
      <c r="A11" t="s">
        <v>9</v>
      </c>
      <c r="B11" s="6">
        <v>0.07862088431388481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9.732906576699593</v>
      </c>
    </row>
    <row r="14" spans="1:3" x14ac:dyDescent="0.25">
      <c r="A14" t="s">
        <v>12</v>
      </c>
      <c r="B14" s="6">
        <v>0.10760404052281483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0.3</v>
      </c>
      <c r="C19" s="8" t="s">
        <v>19</v>
      </c>
    </row>
    <row r="20" spans="1:2" x14ac:dyDescent="0.25">
      <c r="A20" t="s">
        <v>20</v>
      </c>
      <c r="B20" s="10">
        <f>B17+B19*B18</f>
        <v>0.07148</v>
      </c>
    </row>
    <row r="21" spans="1:3" x14ac:dyDescent="0.25">
      <c r="A21" t="s">
        <v>21</v>
      </c>
      <c r="B21" s="6">
        <v>0.06710737100897755</v>
      </c>
      <c r="C21" s="8" t="s">
        <v>22</v>
      </c>
    </row>
    <row r="22" spans="1:2" x14ac:dyDescent="0.25">
      <c r="A22" t="s">
        <v>23</v>
      </c>
      <c r="B22" s="11">
        <v>5383272448</v>
      </c>
    </row>
    <row r="23" spans="1:2" x14ac:dyDescent="0.25">
      <c r="A23" t="s">
        <v>24</v>
      </c>
      <c r="B23" s="11">
        <v>391837000</v>
      </c>
    </row>
    <row r="24" spans="1:2" x14ac:dyDescent="0.25">
      <c r="A24" t="s">
        <v>25</v>
      </c>
      <c r="B24" s="10">
        <f>B22/(B22+B23)</f>
        <v>0.9321507231112826</v>
      </c>
    </row>
    <row r="25" spans="1:2" x14ac:dyDescent="0.25">
      <c r="A25" t="s">
        <v>26</v>
      </c>
      <c r="B25" s="10">
        <f>1-B24</f>
        <v>0.06784927688871745</v>
      </c>
    </row>
    <row r="26" spans="1:2" x14ac:dyDescent="0.25">
      <c r="A26" t="s">
        <v>27</v>
      </c>
      <c r="B26" s="12">
        <f>B24*B20+B25*B21*(1-B8)</f>
        <v>0.06981736430579788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1747853000</v>
      </c>
      <c r="C29" s="8" t="s">
        <v>30</v>
      </c>
    </row>
    <row r="30" spans="1:2" x14ac:dyDescent="0.25">
      <c r="A30" t="s">
        <v>31</v>
      </c>
      <c r="B30" s="11">
        <v>-386661000</v>
      </c>
    </row>
    <row r="31" spans="1:2" x14ac:dyDescent="0.25">
      <c r="A31" t="s">
        <v>32</v>
      </c>
      <c r="B31" s="13">
        <v>847157895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-0.13500874325042334</v>
      </c>
      <c r="C5" s="10">
        <f>Assumptions!B6</f>
        <v>-0.13500874325042334</v>
      </c>
      <c r="D5" s="10">
        <f>Assumptions!B6</f>
        <v>-0.13500874325042334</v>
      </c>
      <c r="E5" s="10">
        <f>Assumptions!B6</f>
        <v>-0.13500874325042334</v>
      </c>
      <c r="F5" s="10">
        <f>Assumptions!B6</f>
        <v>-0.13500874325042334</v>
      </c>
    </row>
    <row r="6" spans="1:6" x14ac:dyDescent="0.25">
      <c r="A6" t="s">
        <v>43</v>
      </c>
      <c r="B6" s="18">
        <f>Assumptions!B29*(1+B5)</f>
        <v>1511877563.0835178</v>
      </c>
      <c r="C6" s="18">
        <f>B6*(1+C5)</f>
        <v>1307760873.3430994</v>
      </c>
      <c r="D6" s="18">
        <f>C6*(1+D5)</f>
        <v>1131201721.3609715</v>
      </c>
      <c r="E6" s="18">
        <f>D6*(1+E5)</f>
        <v>978479598.5973111</v>
      </c>
      <c r="F6" s="18">
        <f>E6*(1+F5)</f>
        <v>846376297.6945095</v>
      </c>
    </row>
    <row r="7" spans="1:6" x14ac:dyDescent="0.25">
      <c r="A7" t="s">
        <v>5</v>
      </c>
      <c r="B7" s="10">
        <f>Assumptions!B7</f>
        <v>0.2928865215937272</v>
      </c>
      <c r="C7" s="10">
        <f>Assumptions!B7</f>
        <v>0.2928865215937272</v>
      </c>
      <c r="D7" s="10">
        <f>Assumptions!B7</f>
        <v>0.2928865215937272</v>
      </c>
      <c r="E7" s="10">
        <f>Assumptions!B7</f>
        <v>0.2928865215937272</v>
      </c>
      <c r="F7" s="10">
        <f>Assumptions!B7</f>
        <v>0.2928865215937272</v>
      </c>
    </row>
    <row r="8" spans="1:6" x14ac:dyDescent="0.25">
      <c r="A8" t="s">
        <v>44</v>
      </c>
      <c r="B8" s="18">
        <f>B6*B7</f>
        <v>442808560.5271324</v>
      </c>
      <c r="C8" s="18">
        <f>C6*C7</f>
        <v>383025533.2698352</v>
      </c>
      <c r="D8" s="18">
        <f>D6*D7</f>
        <v>331313737.3902515</v>
      </c>
      <c r="E8" s="18">
        <f>E6*E7</f>
        <v>286583486.0835929</v>
      </c>
      <c r="F8" s="18">
        <f>F6*F7</f>
        <v>247892209.79112184</v>
      </c>
    </row>
    <row r="9" spans="1:6" x14ac:dyDescent="0.25">
      <c r="A9" t="s">
        <v>45</v>
      </c>
      <c r="B9" s="18">
        <f>B8*(1-Assumptions!B8)</f>
        <v>309965992.3689926</v>
      </c>
      <c r="C9" s="18">
        <f>C8*(1-Assumptions!B8)</f>
        <v>268117873.2888846</v>
      </c>
      <c r="D9" s="18">
        <f>D8*(1-Assumptions!B8)</f>
        <v>231919616.17317605</v>
      </c>
      <c r="E9" s="18">
        <f>E8*(1-Assumptions!B8)</f>
        <v>200608440.258515</v>
      </c>
      <c r="F9" s="18">
        <f>F8*(1-Assumptions!B8)</f>
        <v>173524546.85378528</v>
      </c>
    </row>
    <row r="10" spans="1:6" x14ac:dyDescent="0.25">
      <c r="A10" t="s">
        <v>46</v>
      </c>
      <c r="B10" s="18">
        <f>B6*Assumptions!B9</f>
        <v>188845632.66475368</v>
      </c>
      <c r="C10" s="18">
        <f>C6*Assumptions!B9</f>
        <v>163349821.13035417</v>
      </c>
      <c r="D10" s="18">
        <f>D6*Assumptions!B9</f>
        <v>141296167.0693636</v>
      </c>
      <c r="E10" s="18">
        <f>E6*Assumptions!B9</f>
        <v>122219949.12722698</v>
      </c>
      <c r="F10" s="18">
        <f>F6*Assumptions!B9</f>
        <v>105719187.39542939</v>
      </c>
    </row>
    <row r="11" spans="1:6" x14ac:dyDescent="0.25">
      <c r="A11" t="s">
        <v>47</v>
      </c>
      <c r="B11" s="18">
        <f>-B6*Assumptions!B10</f>
        <v>-193509501.37833205</v>
      </c>
      <c r="C11" s="18">
        <f>-C6*Assumptions!B10</f>
        <v>-167384026.79022738</v>
      </c>
      <c r="D11" s="18">
        <f>-D6*Assumptions!B10</f>
        <v>-144785719.69308358</v>
      </c>
      <c r="E11" s="18">
        <f>-E6*Assumptions!B10</f>
        <v>-125238381.6367123</v>
      </c>
      <c r="F11" s="18">
        <f>-F6*Assumptions!B10</f>
        <v>-108330105.12522288</v>
      </c>
    </row>
    <row r="12" spans="1:6" x14ac:dyDescent="0.25">
      <c r="A12" t="s">
        <v>48</v>
      </c>
      <c r="B12" s="18">
        <f>-(B6-Assumptions!B29)*Assumptions!B11</f>
        <v>18552597.52672917</v>
      </c>
      <c r="C12" s="18">
        <f>-(C6-B6)*Assumptions!B11</f>
        <v>16047834.650614556</v>
      </c>
      <c r="D12" s="18">
        <f>-(D6-C6)*Assumptions!B11</f>
        <v>13881236.662544483</v>
      </c>
      <c r="E12" s="18">
        <f>-(E6-D6)*Assumptions!B11</f>
        <v>12007148.345972652</v>
      </c>
      <c r="F12" s="18">
        <f>-(F6-E6)*Assumptions!B11</f>
        <v>10386078.337761482</v>
      </c>
    </row>
    <row r="13" spans="1:6" x14ac:dyDescent="0.25">
      <c r="A13" s="19" t="s">
        <v>49</v>
      </c>
      <c r="B13" s="20">
        <f>B9+B10+B11+B12</f>
        <v>323854721.1821434</v>
      </c>
      <c r="C13" s="20">
        <f>C9+C10+C11+C12</f>
        <v>280131502.27962595</v>
      </c>
      <c r="D13" s="20">
        <f>D9+D10+D11+D12</f>
        <v>242311300.21200055</v>
      </c>
      <c r="E13" s="20">
        <f>E9+E10+E11+E12</f>
        <v>209597156.0950023</v>
      </c>
      <c r="F13" s="20">
        <f>F9+F10+F11+F12</f>
        <v>181299707.46175328</v>
      </c>
    </row>
    <row r="14" spans="1:6" x14ac:dyDescent="0.25">
      <c r="A14" t="s">
        <v>50</v>
      </c>
      <c r="B14" s="21">
        <f>1/(1+Assumptions!$B$26)^(1-0.5*Assumptions!$B$32)</f>
        <v>0.9668190045575913</v>
      </c>
      <c r="C14" s="21">
        <f>1/(1+Assumptions!$B$26)^(2-0.5*Assumptions!$B$32)</f>
        <v>0.9037234174872063</v>
      </c>
      <c r="D14" s="21">
        <f>1/(1+Assumptions!$B$26)^(3-0.5*Assumptions!$B$32)</f>
        <v>0.8447455123086643</v>
      </c>
      <c r="E14" s="21">
        <f>1/(1+Assumptions!$B$26)^(4-0.5*Assumptions!$B$32)</f>
        <v>0.7896165649328545</v>
      </c>
      <c r="F14" s="21">
        <f>1/(1+Assumptions!$B$26)^(5-0.5*Assumptions!$B$32)</f>
        <v>0.7380853884767844</v>
      </c>
    </row>
    <row r="15" spans="1:6" x14ac:dyDescent="0.25">
      <c r="A15" s="19" t="s">
        <v>51</v>
      </c>
      <c r="B15" s="20">
        <f>B13*B14</f>
        <v>313108899.15459615</v>
      </c>
      <c r="C15" s="20">
        <f>C13*C14</f>
        <v>253161398.5859687</v>
      </c>
      <c r="D15" s="20">
        <f>D13*D14</f>
        <v>204691383.43576497</v>
      </c>
      <c r="E15" s="20">
        <f>E13*E14</f>
        <v>165501386.41543102</v>
      </c>
      <c r="F15" s="20">
        <f>F13*F14</f>
        <v>133814665.01263553</v>
      </c>
    </row>
    <row r="17" spans="1:2" x14ac:dyDescent="0.25">
      <c r="A17" s="22" t="s">
        <v>52</v>
      </c>
      <c r="B17" s="23">
        <f>SUM(B15:F15)</f>
        <v>1070277732.6043963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181299707.46175328</v>
      </c>
    </row>
    <row r="5" spans="1:2" x14ac:dyDescent="0.25">
      <c r="A5" t="s">
        <v>56</v>
      </c>
      <c r="B5" s="18">
        <f>IF(Assumptions!$B$33=0,B4,B4-Forecast!F11-Forecast!F10-Forecast!F12)</f>
        <v>173524546.85378528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0.2323332830117969</v>
      </c>
    </row>
    <row r="7" spans="1:2" x14ac:dyDescent="0.25">
      <c r="A7" t="s">
        <v>58</v>
      </c>
      <c r="B7" s="18">
        <f>-MAX(Forecast!F9,0)*B6</f>
        <v>-40315527.653674304</v>
      </c>
    </row>
    <row r="8" spans="1:2" x14ac:dyDescent="0.25">
      <c r="A8" t="s">
        <v>59</v>
      </c>
      <c r="B8" s="18">
        <f>IF(OR(Assumptions!$B$33=0,Assumptions!B12&lt;=0),B5,MAX(B5+B7,0))</f>
        <v>133209019.20011097</v>
      </c>
    </row>
    <row r="9" spans="1:2" x14ac:dyDescent="0.25">
      <c r="A9" t="s">
        <v>60</v>
      </c>
      <c r="B9" s="18">
        <f>B8*(1+Assumptions!B12)/(Assumptions!B26-Assumptions!B12)</f>
        <v>3046570158.5769086</v>
      </c>
    </row>
    <row r="10" spans="1:2" x14ac:dyDescent="0.25">
      <c r="A10" t="s">
        <v>61</v>
      </c>
      <c r="B10" s="18">
        <f>B9/(1+Assumptions!B26)^(5-0.5*Assumptions!B32)</f>
        <v>2248628919.015016</v>
      </c>
    </row>
    <row r="11" spans="1:2" x14ac:dyDescent="0.25">
      <c r="A11" t="s">
        <v>62</v>
      </c>
      <c r="B11" s="18">
        <f>Forecast!B17+B10</f>
        <v>3318906651.6194124</v>
      </c>
    </row>
    <row r="12" spans="1:2" x14ac:dyDescent="0.25">
      <c r="A12" t="s">
        <v>63</v>
      </c>
      <c r="B12" s="18">
        <f>-Assumptions!B30</f>
        <v>386661000</v>
      </c>
    </row>
    <row r="13" spans="1:2" x14ac:dyDescent="0.25">
      <c r="A13" t="s">
        <v>64</v>
      </c>
      <c r="B13" s="18">
        <f>B11+B12</f>
        <v>3705567651.6194124</v>
      </c>
    </row>
    <row r="14" spans="1:2" x14ac:dyDescent="0.25">
      <c r="A14" s="19" t="s">
        <v>65</v>
      </c>
      <c r="B14" s="24">
        <f>B13/Assumptions!B31</f>
        <v>4.374116883629364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353611397.1865512</v>
      </c>
    </row>
    <row r="18" spans="1:2" x14ac:dyDescent="0.25">
      <c r="A18" t="s">
        <v>60</v>
      </c>
      <c r="B18" s="18">
        <f>B17*Assumptions!B13</f>
        <v>3441666693.2729163</v>
      </c>
    </row>
    <row r="19" spans="1:2" x14ac:dyDescent="0.25">
      <c r="A19" t="s">
        <v>61</v>
      </c>
      <c r="B19" s="18">
        <f>B18/(1+Assumptions!B26)^(5-0.5*Assumptions!B32)</f>
        <v>2540243898.31195</v>
      </c>
    </row>
    <row r="20" spans="1:2" x14ac:dyDescent="0.25">
      <c r="A20" t="s">
        <v>62</v>
      </c>
      <c r="B20" s="18">
        <f>Forecast!B17+B19</f>
        <v>3610521630.9163465</v>
      </c>
    </row>
    <row r="21" spans="1:2" x14ac:dyDescent="0.25">
      <c r="A21" t="s">
        <v>63</v>
      </c>
      <c r="B21" s="18">
        <f>-Assumptions!B30</f>
        <v>386661000</v>
      </c>
    </row>
    <row r="22" spans="1:2" x14ac:dyDescent="0.25">
      <c r="A22" t="s">
        <v>64</v>
      </c>
      <c r="B22" s="18">
        <f>B20+B21</f>
        <v>3997182630.9163465</v>
      </c>
    </row>
    <row r="23" spans="1:2" x14ac:dyDescent="0.25">
      <c r="A23" s="19" t="s">
        <v>65</v>
      </c>
      <c r="B23" s="25">
        <f>B22/Assumptions!B31</f>
        <v>4.718344306897295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6.38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4.374116883629364</v>
      </c>
    </row>
    <row r="29" spans="1:2" x14ac:dyDescent="0.25">
      <c r="A29" s="19" t="s">
        <v>73</v>
      </c>
      <c r="B29" s="12">
        <f>B28/B26-1</f>
        <v>-0.3144017423778426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0.049817</v>
      </c>
      <c r="B5" s="31">
        <v>5.900050628415268</v>
      </c>
      <c r="C5" s="31">
        <v>6.354603590431436</v>
      </c>
      <c r="D5" s="31">
        <v>6.989236873854634</v>
      </c>
      <c r="E5" s="31">
        <v>7.940257932946629</v>
      </c>
      <c r="F5" s="31">
        <v>9.527962147003635</v>
      </c>
    </row>
    <row r="6" spans="1:6" x14ac:dyDescent="0.25">
      <c r="A6" s="30">
        <v>0.059817</v>
      </c>
      <c r="B6" s="31">
        <v>4.818709373165316</v>
      </c>
      <c r="C6" s="31">
        <v>5.034021021306317</v>
      </c>
      <c r="D6" s="31">
        <v>5.309068838399165</v>
      </c>
      <c r="E6" s="31">
        <v>5.673904222447606</v>
      </c>
      <c r="F6" s="31">
        <v>6.182796968524932</v>
      </c>
    </row>
    <row r="7" spans="1:6" x14ac:dyDescent="0.25">
      <c r="A7" s="30">
        <v>0.069817</v>
      </c>
      <c r="B7" s="31">
        <v>4.128903174238597</v>
      </c>
      <c r="C7" s="31">
        <v>4.239921321464897</v>
      </c>
      <c r="D7" s="32">
        <v>4.374143423573457</v>
      </c>
      <c r="E7" s="31">
        <v>4.540310955894767</v>
      </c>
      <c r="F7" s="31">
        <v>4.75218677718148</v>
      </c>
    </row>
    <row r="8" spans="1:6" x14ac:dyDescent="0.25">
      <c r="A8" s="30">
        <v>0.079817</v>
      </c>
      <c r="B8" s="31">
        <v>3.6495349831229937</v>
      </c>
      <c r="C8" s="31">
        <v>3.7084083309960127</v>
      </c>
      <c r="D8" s="31">
        <v>3.776792672610298</v>
      </c>
      <c r="E8" s="31">
        <v>3.8575517875214067</v>
      </c>
      <c r="F8" s="31">
        <v>3.9548274433499344</v>
      </c>
    </row>
    <row r="9" spans="1:6" x14ac:dyDescent="0.25">
      <c r="A9" s="30">
        <v>0.089817</v>
      </c>
      <c r="B9" s="31">
        <v>3.2963227716673806</v>
      </c>
      <c r="C9" s="31">
        <v>3.326771124277395</v>
      </c>
      <c r="D9" s="31">
        <v>3.360919920175072</v>
      </c>
      <c r="E9" s="31">
        <v>3.3996971004025065</v>
      </c>
      <c r="F9" s="31">
        <v>3.444369165588087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1747853000</v>
      </c>
      <c r="C5" s="18">
        <v>1750704000</v>
      </c>
      <c r="D5" s="18">
        <v>1765335000</v>
      </c>
      <c r="E5" s="18">
        <v>2700659000</v>
      </c>
      <c r="F5" s="8" t="s">
        <v>84</v>
      </c>
    </row>
    <row r="6" spans="1:6" x14ac:dyDescent="0.25">
      <c r="A6" t="s">
        <v>44</v>
      </c>
      <c r="B6" s="18">
        <v>277085000</v>
      </c>
      <c r="C6" s="18">
        <v>369189000</v>
      </c>
      <c r="D6" s="18">
        <v>507660000</v>
      </c>
      <c r="E6" s="18">
        <v>1389666000</v>
      </c>
      <c r="F6" s="8" t="s">
        <v>85</v>
      </c>
    </row>
    <row r="7" spans="1:6" x14ac:dyDescent="0.25">
      <c r="A7" t="s">
        <v>86</v>
      </c>
      <c r="B7" s="18">
        <v>236288000</v>
      </c>
      <c r="C7" s="18">
        <v>379579000</v>
      </c>
      <c r="D7" s="18">
        <v>168073000</v>
      </c>
      <c r="E7" s="18">
        <v>141574000</v>
      </c>
      <c r="F7" s="8" t="s">
        <v>87</v>
      </c>
    </row>
    <row r="8" spans="1:6" x14ac:dyDescent="0.25">
      <c r="A8" t="s">
        <v>88</v>
      </c>
      <c r="B8" s="18">
        <v>193541000</v>
      </c>
      <c r="C8" s="18">
        <v>311192000</v>
      </c>
      <c r="D8" s="18">
        <v>272304000</v>
      </c>
      <c r="E8" s="18">
        <v>186987000</v>
      </c>
      <c r="F8" s="8" t="s">
        <v>89</v>
      </c>
    </row>
    <row r="9" spans="1:6" x14ac:dyDescent="0.25">
      <c r="A9" t="s">
        <v>90</v>
      </c>
      <c r="B9" s="18">
        <v>-27426000</v>
      </c>
      <c r="C9" s="18">
        <v>66585000</v>
      </c>
      <c r="D9" s="18">
        <v>-73536000</v>
      </c>
      <c r="E9" s="18">
        <v>0</v>
      </c>
      <c r="F9" s="8" t="s">
        <v>91</v>
      </c>
    </row>
    <row r="10" spans="1:6" x14ac:dyDescent="0.25">
      <c r="A10" t="s">
        <v>92</v>
      </c>
      <c r="B10" s="18">
        <v>391837000</v>
      </c>
      <c r="C10" s="18">
        <v>372848000</v>
      </c>
      <c r="D10" s="18">
        <v>372869000</v>
      </c>
      <c r="E10" s="18">
        <v>96891000</v>
      </c>
      <c r="F10" s="8" t="s">
        <v>93</v>
      </c>
    </row>
    <row r="11" spans="1:6" x14ac:dyDescent="0.25">
      <c r="A11" t="s">
        <v>94</v>
      </c>
      <c r="B11" s="18">
        <v>778498000</v>
      </c>
      <c r="C11" s="18">
        <v>707285000</v>
      </c>
      <c r="D11" s="18">
        <v>824525000</v>
      </c>
      <c r="E11" s="18">
        <v>750638000</v>
      </c>
      <c r="F11" s="8" t="s">
        <v>95</v>
      </c>
    </row>
    <row r="12" spans="1:6" x14ac:dyDescent="0.25">
      <c r="A12" t="s">
        <v>32</v>
      </c>
      <c r="B12" s="34">
        <v>847157895</v>
      </c>
      <c r="C12" s="34">
        <v>844210706</v>
      </c>
      <c r="D12" s="34">
        <v>845335464</v>
      </c>
      <c r="E12" s="34">
        <v>916865093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2026-09-19T01:04:47Z</dcterms:modified>
</cp:coreProperties>
</file>