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<sst xmlns="http://schemas.openxmlformats.org/spreadsheetml/2006/main" count="113" uniqueCount="100">
  <si>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nib holdings limited (NHF.AX)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</si>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</sst>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0.06525306018478294</v>
      </c>
    </row>
    <row r="7" spans="1:2" x14ac:dyDescent="0.25">
      <c r="A7" t="s">
        <v>5</v>
      </c>
      <c r="B7" s="6">
        <v>0.07746716454072348</v>
      </c>
    </row>
    <row r="8" spans="1:2" x14ac:dyDescent="0.25">
      <c r="A8" t="s">
        <v>6</v>
      </c>
      <c r="B8" s="6">
        <v>0.2991170122557756</v>
      </c>
    </row>
    <row r="9" spans="1:2" x14ac:dyDescent="0.25">
      <c r="A9" t="s">
        <v>7</v>
      </c>
      <c r="B9" s="6">
        <v>0.013210169517210855</v>
      </c>
    </row>
    <row r="10" spans="1:2" x14ac:dyDescent="0.25">
      <c r="A10" t="s">
        <v>8</v>
      </c>
      <c r="B10" s="6">
        <v>0.01376856808183111</v>
      </c>
    </row>
    <row r="11" spans="1:2" x14ac:dyDescent="0.25">
      <c r="A11" t="s">
        <v>9</v>
      </c>
      <c r="B11" s="6">
        <v>0.0390961262553802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9.838080203821656</v>
      </c>
    </row>
    <row r="14" spans="1:3" x14ac:dyDescent="0.25">
      <c r="A14" t="s">
        <v>12</v>
      </c>
      <c r="B14" s="6">
        <v>0.13797241896838353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0.38025</v>
      </c>
      <c r="C19" s="8" t="s">
        <v>19</v>
      </c>
    </row>
    <row r="20" spans="1:2" x14ac:dyDescent="0.25">
      <c r="A20" t="s">
        <v>20</v>
      </c>
      <c r="B20" s="10">
        <f>B17+B19*B18</f>
        <v>0.076295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3212157184</v>
      </c>
    </row>
    <row r="23" spans="1:2" x14ac:dyDescent="0.25">
      <c r="A23" t="s">
        <v>24</v>
      </c>
      <c r="B23" s="11">
        <v>229300000</v>
      </c>
    </row>
    <row r="24" spans="1:2" x14ac:dyDescent="0.25">
      <c r="A24" t="s">
        <v>25</v>
      </c>
      <c r="B24" s="10">
        <f>B22/(B22+B23)</f>
        <v>0.9333712471955019</v>
      </c>
    </row>
    <row r="25" spans="1:2" x14ac:dyDescent="0.25">
      <c r="A25" t="s">
        <v>26</v>
      </c>
      <c r="B25" s="10">
        <f>1-B24</f>
        <v>0.06662875280449809</v>
      </c>
    </row>
    <row r="26" spans="1:2" x14ac:dyDescent="0.25">
      <c r="A26" t="s">
        <v>27</v>
      </c>
      <c r="B26" s="12">
        <f>B24*B20+B25*B21*(1-B8)</f>
        <v>0.07370901965003201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3775600000</v>
      </c>
      <c r="C29" s="8" t="s">
        <v>30</v>
      </c>
    </row>
    <row r="30" spans="1:2" x14ac:dyDescent="0.25">
      <c r="A30" t="s">
        <v>31</v>
      </c>
      <c r="B30" s="11">
        <v>-123000000</v>
      </c>
    </row>
    <row r="31" spans="1:2" x14ac:dyDescent="0.25">
      <c r="A31" t="s">
        <v>32</v>
      </c>
      <c r="B31" s="13">
        <v>487900000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0.06525306018478294</v>
      </c>
      <c r="C5" s="10">
        <f>Assumptions!B6</f>
        <v>0.06525306018478294</v>
      </c>
      <c r="D5" s="10">
        <f>Assumptions!B6</f>
        <v>0.06525306018478294</v>
      </c>
      <c r="E5" s="10">
        <f>Assumptions!B6</f>
        <v>0.06525306018478294</v>
      </c>
      <c r="F5" s="10">
        <f>Assumptions!B6</f>
        <v>0.06525306018478294</v>
      </c>
    </row>
    <row r="6" spans="1:6" x14ac:dyDescent="0.25">
      <c r="A6" t="s">
        <v>43</v>
      </c>
      <c r="B6" s="18">
        <f>Assumptions!B29*(1+B5)</f>
        <v>4021969454.0336666</v>
      </c>
      <c r="C6" s="18">
        <f>B6*(1+C5)</f>
        <v>4284415268.879084</v>
      </c>
      <c r="D6" s="18">
        <f>C6*(1+D5)</f>
        <v>4563986476.275854</v>
      </c>
      <c r="E6" s="18">
        <f>D6*(1+E5)</f>
        <v>4861800560.494818</v>
      </c>
      <c r="F6" s="18">
        <f>E6*(1+F5)</f>
        <v>5179047925.075197</v>
      </c>
    </row>
    <row r="7" spans="1:6" x14ac:dyDescent="0.25">
      <c r="A7" t="s">
        <v>5</v>
      </c>
      <c r="B7" s="10">
        <f>Assumptions!B7</f>
        <v>0.07746716454072348</v>
      </c>
      <c r="C7" s="10">
        <f>Assumptions!B7</f>
        <v>0.07746716454072348</v>
      </c>
      <c r="D7" s="10">
        <f>Assumptions!B7</f>
        <v>0.07746716454072348</v>
      </c>
      <c r="E7" s="10">
        <f>Assumptions!B7</f>
        <v>0.07746716454072348</v>
      </c>
      <c r="F7" s="10">
        <f>Assumptions!B7</f>
        <v>0.07746716454072348</v>
      </c>
    </row>
    <row r="8" spans="1:6" x14ac:dyDescent="0.25">
      <c r="A8" t="s">
        <v>44</v>
      </c>
      <c r="B8" s="18">
        <f>B6*B7</f>
        <v>311570569.47338986</v>
      </c>
      <c r="C8" s="18">
        <f>C6*C7</f>
        <v>331901502.5950441</v>
      </c>
      <c r="D8" s="18">
        <f>D6*D7</f>
        <v>353559091.3192984</v>
      </c>
      <c r="E8" s="18">
        <f>E6*E7</f>
        <v>376629903.9840337</v>
      </c>
      <c r="F8" s="18">
        <f>F6*F7</f>
        <v>401206157.7760929</v>
      </c>
    </row>
    <row r="9" spans="1:6" x14ac:dyDescent="0.25">
      <c r="A9" t="s">
        <v>45</v>
      </c>
      <c r="B9" s="18">
        <f>B8*(1-Assumptions!B8)</f>
        <v>218374511.62567893</v>
      </c>
      <c r="C9" s="18">
        <f>C8*(1-Assumptions!B8)</f>
        <v>232624116.77561194</v>
      </c>
      <c r="D9" s="18">
        <f>D8*(1-Assumptions!B8)</f>
        <v>247803552.26800293</v>
      </c>
      <c r="E9" s="18">
        <f>E8*(1-Assumptions!B8)</f>
        <v>263973492.37814993</v>
      </c>
      <c r="F9" s="18">
        <f>F8*(1-Assumptions!B8)</f>
        <v>281198570.56348866</v>
      </c>
    </row>
    <row r="10" spans="1:6" x14ac:dyDescent="0.25">
      <c r="A10" t="s">
        <v>46</v>
      </c>
      <c r="B10" s="18">
        <f>B6*Assumptions!B9</f>
        <v>53130898.28082873</v>
      </c>
      <c r="C10" s="18">
        <f>C6*Assumptions!B9</f>
        <v>56597851.98401923</v>
      </c>
      <c r="D10" s="18">
        <f>D6*Assumptions!B9</f>
        <v>60291035.02586187</v>
      </c>
      <c r="E10" s="18">
        <f>E6*Assumptions!B9</f>
        <v>64225209.56300729</v>
      </c>
      <c r="F10" s="18">
        <f>F6*Assumptions!B9</f>
        <v>68416101.0280025</v>
      </c>
    </row>
    <row r="11" spans="1:6" x14ac:dyDescent="0.25">
      <c r="A11" t="s">
        <v>47</v>
      </c>
      <c r="B11" s="18">
        <f>-B6*Assumptions!B10</f>
        <v>-55376760.25090764</v>
      </c>
      <c r="C11" s="18">
        <f>-C6*Assumptions!B10</f>
        <v>-58990263.32039841</v>
      </c>
      <c r="D11" s="18">
        <f>-D6*Assumptions!B10</f>
        <v>-62839558.52316056</v>
      </c>
      <c r="E11" s="18">
        <f>-E6*Assumptions!B10</f>
        <v>-66940032.017457545</v>
      </c>
      <c r="F11" s="18">
        <f>-F6*Assumptions!B10</f>
        <v>-71308073.95546399</v>
      </c>
    </row>
    <row r="12" spans="1:6" x14ac:dyDescent="0.25">
      <c r="A12" t="s">
        <v>48</v>
      </c>
      <c r="B12" s="18">
        <f>-(B6-Assumptions!B29)*Assumptions!B11</f>
        <v>-9632091.280369317</v>
      </c>
      <c r="C12" s="18">
        <f>-(C6-B6)*Assumptions!B11</f>
        <v>-10260614.712392578</v>
      </c>
      <c r="D12" s="18">
        <f>-(D6-C6)*Assumptions!B11</f>
        <v>-10930151.221753202</v>
      </c>
      <c r="E12" s="18">
        <f>-(E6-D6)*Assumptions!B11</f>
        <v>-11643377.037255034</v>
      </c>
      <c r="F12" s="18">
        <f>-(F6-E6)*Assumptions!B11</f>
        <v>-12403143.019821148</v>
      </c>
    </row>
    <row r="13" spans="1:6" x14ac:dyDescent="0.25">
      <c r="A13" s="19" t="s">
        <v>49</v>
      </c>
      <c r="B13" s="20">
        <f>B9+B10+B11+B12</f>
        <v>206496558.37523073</v>
      </c>
      <c r="C13" s="20">
        <f>C9+C10+C11+C12</f>
        <v>219971090.72684017</v>
      </c>
      <c r="D13" s="20">
        <f>D9+D10+D11+D12</f>
        <v>234324877.548951</v>
      </c>
      <c r="E13" s="20">
        <f>E9+E10+E11+E12</f>
        <v>249615292.88644463</v>
      </c>
      <c r="F13" s="20">
        <f>F9+F10+F11+F12</f>
        <v>265903454.61620602</v>
      </c>
    </row>
    <row r="14" spans="1:6" x14ac:dyDescent="0.25">
      <c r="A14" t="s">
        <v>50</v>
      </c>
      <c r="B14" s="21">
        <f>1/(1+Assumptions!$B$26)^(1-0.5*Assumptions!$B$32)</f>
        <v>0.9650652976471561</v>
      </c>
      <c r="C14" s="21">
        <f>1/(1+Assumptions!$B$26)^(2-0.5*Assumptions!$B$32)</f>
        <v>0.8988145577483482</v>
      </c>
      <c r="D14" s="21">
        <f>1/(1+Assumptions!$B$26)^(3-0.5*Assumptions!$B$32)</f>
        <v>0.8371118629899473</v>
      </c>
      <c r="E14" s="21">
        <f>1/(1+Assumptions!$B$26)^(4-0.5*Assumptions!$B$32)</f>
        <v>0.7796449947517419</v>
      </c>
      <c r="F14" s="21">
        <f>1/(1+Assumptions!$B$26)^(5-0.5*Assumptions!$B$32)</f>
        <v>0.7261231679006122</v>
      </c>
    </row>
    <row r="15" spans="1:6" x14ac:dyDescent="0.25">
      <c r="A15" s="19" t="s">
        <v>51</v>
      </c>
      <c r="B15" s="20">
        <f>B13*B14</f>
        <v>199282662.5715054</v>
      </c>
      <c r="C15" s="20">
        <f>C13*C14</f>
        <v>197713218.62906662</v>
      </c>
      <c r="D15" s="20">
        <f>D13*D14</f>
        <v>196156134.78989366</v>
      </c>
      <c r="E15" s="20">
        <f>E13*E14</f>
        <v>194611313.71240664</v>
      </c>
      <c r="F15" s="20">
        <f>F13*F14</f>
        <v>193078658.82163617</v>
      </c>
    </row>
    <row r="17" spans="1:2" x14ac:dyDescent="0.25">
      <c r="A17" s="22" t="s">
        <v>52</v>
      </c>
      <c r="B17" s="23">
        <f>SUM(B15:F15)</f>
        <v>980841988.5245085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265903454.61620602</v>
      </c>
    </row>
    <row r="5" spans="1:2" x14ac:dyDescent="0.25">
      <c r="A5" t="s">
        <v>56</v>
      </c>
      <c r="B5" s="18">
        <f>IF(Assumptions!$B$33=0,B4,B4-Forecast!F11-Forecast!F10-Forecast!F12)</f>
        <v>281198570.56348866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0.18119563451104506</v>
      </c>
    </row>
    <row r="7" spans="1:2" x14ac:dyDescent="0.25">
      <c r="A7" t="s">
        <v>58</v>
      </c>
      <c r="B7" s="18">
        <f>-MAX(Forecast!F9,0)*B6</f>
        <v>-50951953.41685021</v>
      </c>
    </row>
    <row r="8" spans="1:2" x14ac:dyDescent="0.25">
      <c r="A8" t="s">
        <v>59</v>
      </c>
      <c r="B8" s="18">
        <f>IF(OR(Assumptions!$B$33=0,Assumptions!B12&lt;=0),B5,MAX(B5+B7,0))</f>
        <v>230246617.14663845</v>
      </c>
    </row>
    <row r="9" spans="1:2" x14ac:dyDescent="0.25">
      <c r="A9" t="s">
        <v>60</v>
      </c>
      <c r="B9" s="18">
        <f>B8*(1+Assumptions!B12)/(Assumptions!B26-Assumptions!B12)</f>
        <v>4845155666.670234</v>
      </c>
    </row>
    <row r="10" spans="1:2" x14ac:dyDescent="0.25">
      <c r="A10" t="s">
        <v>61</v>
      </c>
      <c r="B10" s="18">
        <f>B9/(1+Assumptions!B26)^(5-0.5*Assumptions!B32)</f>
        <v>3518179781.6541924</v>
      </c>
    </row>
    <row r="11" spans="1:2" x14ac:dyDescent="0.25">
      <c r="A11" t="s">
        <v>62</v>
      </c>
      <c r="B11" s="18">
        <f>Forecast!B17+B10</f>
        <v>4499021770.178701</v>
      </c>
    </row>
    <row r="12" spans="1:2" x14ac:dyDescent="0.25">
      <c r="A12" t="s">
        <v>63</v>
      </c>
      <c r="B12" s="18">
        <f>-Assumptions!B30</f>
        <v>123000000</v>
      </c>
    </row>
    <row r="13" spans="1:2" x14ac:dyDescent="0.25">
      <c r="A13" t="s">
        <v>64</v>
      </c>
      <c r="B13" s="18">
        <f>B11+B12</f>
        <v>4622021770.178701</v>
      </c>
    </row>
    <row r="14" spans="1:2" x14ac:dyDescent="0.25">
      <c r="A14" s="19" t="s">
        <v>65</v>
      </c>
      <c r="B14" s="24">
        <f>B13/Assumptions!B31</f>
        <v>9.47329733588584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469622258.8040954</v>
      </c>
    </row>
    <row r="18" spans="1:2" x14ac:dyDescent="0.25">
      <c r="A18" t="s">
        <v>60</v>
      </c>
      <c r="B18" s="18">
        <f>B17*Assumptions!B13</f>
        <v>4620181447.614581</v>
      </c>
    </row>
    <row r="19" spans="1:2" x14ac:dyDescent="0.25">
      <c r="A19" t="s">
        <v>61</v>
      </c>
      <c r="B19" s="18">
        <f>B18/(1+Assumptions!B26)^(5-0.5*Assumptions!B32)</f>
        <v>3354820789.0175357</v>
      </c>
    </row>
    <row r="20" spans="1:2" x14ac:dyDescent="0.25">
      <c r="A20" t="s">
        <v>62</v>
      </c>
      <c r="B20" s="18">
        <f>Forecast!B17+B19</f>
        <v>4335662777.542044</v>
      </c>
    </row>
    <row r="21" spans="1:2" x14ac:dyDescent="0.25">
      <c r="A21" t="s">
        <v>63</v>
      </c>
      <c r="B21" s="18">
        <f>-Assumptions!B30</f>
        <v>123000000</v>
      </c>
    </row>
    <row r="22" spans="1:2" x14ac:dyDescent="0.25">
      <c r="A22" t="s">
        <v>64</v>
      </c>
      <c r="B22" s="18">
        <f>B20+B21</f>
        <v>4458662777.542044</v>
      </c>
    </row>
    <row r="23" spans="1:2" x14ac:dyDescent="0.25">
      <c r="A23" s="19" t="s">
        <v>65</v>
      </c>
      <c r="B23" s="25">
        <f>B22/Assumptions!B31</f>
        <v>9.138476691006444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6.57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9.47329733588584</v>
      </c>
    </row>
    <row r="29" spans="1:2" x14ac:dyDescent="0.25">
      <c r="A29" s="19" t="s">
        <v>73</v>
      </c>
      <c r="B29" s="12">
        <f>B28/B26-1</f>
        <v>0.441902182022198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0.053709</v>
      </c>
      <c r="B5" s="31">
        <v>13.003403265362858</v>
      </c>
      <c r="C5" s="31">
        <v>14.143009433602106</v>
      </c>
      <c r="D5" s="31">
        <v>15.673817355856809</v>
      </c>
      <c r="E5" s="31">
        <v>17.843329090848627</v>
      </c>
      <c r="F5" s="31">
        <v>21.16362744316662</v>
      </c>
    </row>
    <row r="6" spans="1:6" x14ac:dyDescent="0.25">
      <c r="A6" s="30">
        <v>0.063709</v>
      </c>
      <c r="B6" s="31">
        <v>10.416736343504324</v>
      </c>
      <c r="C6" s="31">
        <v>11.019469205471744</v>
      </c>
      <c r="D6" s="31">
        <v>11.773824339937114</v>
      </c>
      <c r="E6" s="31">
        <v>12.747271386684169</v>
      </c>
      <c r="F6" s="31">
        <v>14.054282416639268</v>
      </c>
    </row>
    <row r="7" spans="1:6" x14ac:dyDescent="0.25">
      <c r="A7" s="30">
        <v>0.073709</v>
      </c>
      <c r="B7" s="31">
        <v>8.71109405812139</v>
      </c>
      <c r="C7" s="31">
        <v>9.058130814358604</v>
      </c>
      <c r="D7" s="32">
        <v>9.473300930115533</v>
      </c>
      <c r="E7" s="31">
        <v>9.979986326570792</v>
      </c>
      <c r="F7" s="31">
        <v>10.61364979559384</v>
      </c>
    </row>
    <row r="8" spans="1:6" x14ac:dyDescent="0.25">
      <c r="A8" s="30">
        <v>0.083709</v>
      </c>
      <c r="B8" s="31">
        <v>7.5018127530116585</v>
      </c>
      <c r="C8" s="31">
        <v>7.711774281435916</v>
      </c>
      <c r="D8" s="31">
        <v>7.955021202985624</v>
      </c>
      <c r="E8" s="31">
        <v>8.240849555510716</v>
      </c>
      <c r="F8" s="31">
        <v>8.582372346148077</v>
      </c>
    </row>
    <row r="9" spans="1:6" x14ac:dyDescent="0.25">
      <c r="A9" s="30">
        <v>0.093709</v>
      </c>
      <c r="B9" s="31">
        <v>6.599714185726907</v>
      </c>
      <c r="C9" s="31">
        <v>6.730138750477513</v>
      </c>
      <c r="D9" s="31">
        <v>6.877514114474845</v>
      </c>
      <c r="E9" s="31">
        <v>7.045831267825497</v>
      </c>
      <c r="F9" s="31">
        <v>7.2404407843818515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3775600000</v>
      </c>
      <c r="C5" s="18">
        <v>3589200000</v>
      </c>
      <c r="D5" s="18">
        <v>3402200000</v>
      </c>
      <c r="E5" s="18">
        <v>3123400000</v>
      </c>
      <c r="F5" s="8" t="s">
        <v>84</v>
      </c>
    </row>
    <row r="6" spans="1:6" x14ac:dyDescent="0.25">
      <c r="A6" t="s">
        <v>44</v>
      </c>
      <c r="B6" s="18">
        <v>258400000</v>
      </c>
      <c r="C6" s="18">
        <v>259200000</v>
      </c>
      <c r="D6" s="18">
        <v>265800000</v>
      </c>
      <c r="E6" s="18">
        <v>284500000</v>
      </c>
      <c r="F6" s="8" t="s">
        <v>85</v>
      </c>
    </row>
    <row r="7" spans="1:6" x14ac:dyDescent="0.25">
      <c r="A7" t="s">
        <v>86</v>
      </c>
      <c r="B7" s="18">
        <v>55600000</v>
      </c>
      <c r="C7" s="18">
        <v>46800000</v>
      </c>
      <c r="D7" s="18">
        <v>44900000</v>
      </c>
      <c r="E7" s="18">
        <v>37100000</v>
      </c>
      <c r="F7" s="8" t="s">
        <v>87</v>
      </c>
    </row>
    <row r="8" spans="1:6" x14ac:dyDescent="0.25">
      <c r="A8" t="s">
        <v>88</v>
      </c>
      <c r="B8" s="18">
        <v>34400000</v>
      </c>
      <c r="C8" s="18">
        <v>53600000</v>
      </c>
      <c r="D8" s="18">
        <v>48600000</v>
      </c>
      <c r="E8" s="18">
        <v>52300000</v>
      </c>
      <c r="F8" s="8" t="s">
        <v>89</v>
      </c>
    </row>
    <row r="9" spans="1:6" x14ac:dyDescent="0.25">
      <c r="A9" t="s">
        <v>90</v>
      </c>
      <c r="B9" s="18">
        <v>9100000</v>
      </c>
      <c r="C9" s="18">
        <v>-6400000</v>
      </c>
      <c r="D9" s="18">
        <v>10900000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229300000</v>
      </c>
      <c r="C10" s="18">
        <v>310200000</v>
      </c>
      <c r="D10" s="18">
        <v>306800000</v>
      </c>
      <c r="E10" s="18">
        <v>291800000</v>
      </c>
      <c r="F10" s="8" t="s">
        <v>92</v>
      </c>
    </row>
    <row r="11" spans="1:6" x14ac:dyDescent="0.25">
      <c r="A11" t="s">
        <v>93</v>
      </c>
      <c r="B11" s="18">
        <v>352300000</v>
      </c>
      <c r="C11" s="18">
        <v>404600000</v>
      </c>
      <c r="D11" s="18">
        <v>459800000</v>
      </c>
      <c r="E11" s="18">
        <v>420100000</v>
      </c>
      <c r="F11" s="8" t="s">
        <v>94</v>
      </c>
    </row>
    <row r="12" spans="1:6" x14ac:dyDescent="0.25">
      <c r="A12" t="s">
        <v>32</v>
      </c>
      <c r="B12" s="34">
        <v>487900000</v>
      </c>
      <c r="C12" s="34">
        <v>486100000</v>
      </c>
      <c r="D12" s="34">
        <v>484200000</v>
      </c>
      <c r="E12" s="34">
        <v>475600000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