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<sst xmlns="http://schemas.openxmlformats.org/spreadsheetml/2006/main" count="114" uniqueCount="102">
  <si>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NiSource Inc. (NI)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</si>
  <si>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</si>
  <si>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</si>
  <si>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</si>
  <si>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</si>
  <si>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</si>
  <si>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</si>
  <si>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</si>
  <si>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</si>
  <si>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</si>
  <si>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</si>
  <si>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</si>
  <si>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</si>
  <si>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</si>
  <si>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</si>
  <si>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</si>
  <si>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</si>
  <si>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</si>
  <si>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</si>
  <si>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</si>
  <si>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</si>
  <si>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</si>
  <si>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</si>
  <si>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</si>
  <si>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</si>
  <si>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</si>
  <si>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</si>
  <si>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</si>
  <si>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</si>
  <si>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</si>
  <si>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</si>
  <si>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</si>
  <si>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</si>
  <si>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</si>
  <si>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</si>
  <si>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</si>
  <si>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</si>
  <si>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</si>
  <si>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</si>
  <si>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</si>
  <si>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</si>
  <si>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</si>
  <si>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</si>
  <si>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</si>
  <si>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</si>
  <si>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</si>
  <si>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</si>
  <si>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</si>
  <si>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</si>
  <si>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</si>
  <si>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</si>
  <si>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</si>
  <si>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</si>
  <si>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</si>
  <si>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</si>
  <si>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</si>
  <si>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</si>
  <si>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</si>
  <si>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</si>
  <si>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</si>
  <si>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</si>
  <si>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</si>
  <si>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</si>
  <si>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</si>
  <si>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</si>
  <si>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</si>
  <si>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</si>
  <si>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</si>
  <si>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</si>
  <si>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</si>
  <si>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</si>
  <si>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</si>
  <si>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</si>
  <si>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</si>
  <si>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</si>
  <si>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</si>
  <si>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</si>
  <si>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</si>
  <si>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</si>
  <si>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</si>
  <si>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</si>
  <si>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</si>
  <si>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</si>
  <si>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</si>
  <si>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</si>
  <si>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</si>
  <si>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</si>
  <si>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</si>
  <si>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</si>
  <si>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</si>
  <si>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</si>
  <si>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</si>
  <si>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</si>
  <si>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</si>
  <si>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</si>
  <si>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</si>
  <si>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</si>
  <si>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</si>
  <si>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1.4%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</si>
  <si>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</si>
  <si>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45.4% of revenue against depreciation of 16.8%.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</si>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</sst>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0.04320705110154299</v>
      </c>
    </row>
    <row r="7" spans="1:2" x14ac:dyDescent="0.25">
      <c r="A7" t="s">
        <v>5</v>
      </c>
      <c r="B7" s="6">
        <v>0.24462953533988613</v>
      </c>
    </row>
    <row r="8" spans="1:2" x14ac:dyDescent="0.25">
      <c r="A8" t="s">
        <v>6</v>
      </c>
      <c r="B8" s="6">
        <v>0.16947027435467582</v>
      </c>
    </row>
    <row r="9" spans="1:2" x14ac:dyDescent="0.25">
      <c r="A9" t="s">
        <v>7</v>
      </c>
      <c r="B9" s="6">
        <v>0.16806940817351546</v>
      </c>
    </row>
    <row r="10" spans="1:2" x14ac:dyDescent="0.25">
      <c r="A10" t="s">
        <v>8</v>
      </c>
      <c r="B10" s="6">
        <v>0.4542004862640753</v>
      </c>
    </row>
    <row r="11" spans="1:2" x14ac:dyDescent="0.25">
      <c r="A11" t="s">
        <v>9</v>
      </c>
      <c r="B11" s="6">
        <v>0.047510740459944405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11.856625640273379</v>
      </c>
    </row>
    <row r="14" spans="1:3" x14ac:dyDescent="0.25">
      <c r="A14" t="s">
        <v>12</v>
      </c>
      <c r="B14" s="6">
        <v>0.06688652104213166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0.6918</v>
      </c>
      <c r="C19" s="8" t="s">
        <v>19</v>
      </c>
    </row>
    <row r="20" spans="1:2" x14ac:dyDescent="0.25">
      <c r="A20" t="s">
        <v>20</v>
      </c>
      <c r="B20" s="10">
        <f>B17+B19*B18</f>
        <v>0.088029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19460548608</v>
      </c>
    </row>
    <row r="23" spans="1:2" x14ac:dyDescent="0.25">
      <c r="A23" t="s">
        <v>24</v>
      </c>
      <c r="B23" s="11">
        <v>16213500000</v>
      </c>
    </row>
    <row r="24" spans="1:2" x14ac:dyDescent="0.25">
      <c r="A24" t="s">
        <v>25</v>
      </c>
      <c r="B24" s="10">
        <f>B22/(B22+B23)</f>
        <v>0.5455099537997468</v>
      </c>
    </row>
    <row r="25" spans="1:2" x14ac:dyDescent="0.25">
      <c r="A25" t="s">
        <v>26</v>
      </c>
      <c r="B25" s="10">
        <f>1-B24</f>
        <v>0.45449004620025324</v>
      </c>
    </row>
    <row r="26" spans="1:2" x14ac:dyDescent="0.25">
      <c r="A26" t="s">
        <v>27</v>
      </c>
      <c r="B26" s="12">
        <f>B24*B20+B25*B21*(1-B8)</f>
        <v>0.06688652104213166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6642200000</v>
      </c>
      <c r="C29" s="8" t="s">
        <v>30</v>
      </c>
    </row>
    <row r="30" spans="1:2" x14ac:dyDescent="0.25">
      <c r="A30" t="s">
        <v>31</v>
      </c>
      <c r="B30" s="11">
        <v>16103400000</v>
      </c>
    </row>
    <row r="31" spans="1:2" x14ac:dyDescent="0.25">
      <c r="A31" t="s">
        <v>32</v>
      </c>
      <c r="B31" s="13">
        <v>474500000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0.04320705110154299</v>
      </c>
      <c r="C5" s="10">
        <f>Assumptions!B6</f>
        <v>0.04320705110154299</v>
      </c>
      <c r="D5" s="10">
        <f>Assumptions!B6</f>
        <v>0.04320705110154299</v>
      </c>
      <c r="E5" s="10">
        <f>Assumptions!B6</f>
        <v>0.04320705110154299</v>
      </c>
      <c r="F5" s="10">
        <f>Assumptions!B6</f>
        <v>0.04320705110154299</v>
      </c>
    </row>
    <row r="6" spans="1:6" x14ac:dyDescent="0.25">
      <c r="A6" t="s">
        <v>43</v>
      </c>
      <c r="B6" s="18">
        <f>Assumptions!B29*(1+B5)</f>
        <v>6929189874.826669</v>
      </c>
      <c r="C6" s="18">
        <f>B6*(1+C5)</f>
        <v>7228579735.840599</v>
      </c>
      <c r="D6" s="18">
        <f>C6*(1+D5)</f>
        <v>7540905349.878642</v>
      </c>
      <c r="E6" s="18">
        <f>D6*(1+E5)</f>
        <v>7866725632.682748</v>
      </c>
      <c r="F6" s="18">
        <f>E6*(1+F5)</f>
        <v>8206623649.095889</v>
      </c>
    </row>
    <row r="7" spans="1:6" x14ac:dyDescent="0.25">
      <c r="A7" t="s">
        <v>5</v>
      </c>
      <c r="B7" s="10">
        <f>Assumptions!B7</f>
        <v>0.24462953533988613</v>
      </c>
      <c r="C7" s="10">
        <f>Assumptions!B7</f>
        <v>0.24462953533988613</v>
      </c>
      <c r="D7" s="10">
        <f>Assumptions!B7</f>
        <v>0.24462953533988613</v>
      </c>
      <c r="E7" s="10">
        <f>Assumptions!B7</f>
        <v>0.24462953533988613</v>
      </c>
      <c r="F7" s="10">
        <f>Assumptions!B7</f>
        <v>0.24462953533988613</v>
      </c>
    </row>
    <row r="8" spans="1:6" x14ac:dyDescent="0.25">
      <c r="A8" t="s">
        <v>44</v>
      </c>
      <c r="B8" s="18">
        <f>B6*B7</f>
        <v>1695084499.3606918</v>
      </c>
      <c r="C8" s="18">
        <f>C6*C7</f>
        <v>1768324101.9460025</v>
      </c>
      <c r="D8" s="18">
        <f>D6*D7</f>
        <v>1844728171.7828736</v>
      </c>
      <c r="E8" s="18">
        <f>E6*E7</f>
        <v>1924433436.1695523</v>
      </c>
      <c r="F8" s="18">
        <f>F6*F7</f>
        <v>2007582529.987648</v>
      </c>
    </row>
    <row r="9" spans="1:6" x14ac:dyDescent="0.25">
      <c r="A9" t="s">
        <v>45</v>
      </c>
      <c r="B9" s="18">
        <f>B8*(1-Assumptions!B8)</f>
        <v>1407818064.199677</v>
      </c>
      <c r="C9" s="18">
        <f>C8*(1-Assumptions!B8)</f>
        <v>1468645731.2412276</v>
      </c>
      <c r="D9" s="18">
        <f>D8*(1-Assumptions!B8)</f>
        <v>1532101582.4010303</v>
      </c>
      <c r="E9" s="18">
        <f>E8*(1-Assumptions!B8)</f>
        <v>1598299173.7645867</v>
      </c>
      <c r="F9" s="18">
        <f>F8*(1-Assumptions!B8)</f>
        <v>1667356967.840987</v>
      </c>
    </row>
    <row r="10" spans="1:6" x14ac:dyDescent="0.25">
      <c r="A10" t="s">
        <v>46</v>
      </c>
      <c r="B10" s="18">
        <f>B6*Assumptions!B9</f>
        <v>1164584841.384034</v>
      </c>
      <c r="C10" s="18">
        <f>C6*Assumptions!B9</f>
        <v>1214903118.1377962</v>
      </c>
      <c r="D10" s="18">
        <f>D6*Assumptions!B9</f>
        <v>1267395499.2466</v>
      </c>
      <c r="E10" s="18">
        <f>E6*Assumptions!B9</f>
        <v>1322155921.3484135</v>
      </c>
      <c r="F10" s="18">
        <f>F6*Assumptions!B9</f>
        <v>1379282379.8063219</v>
      </c>
    </row>
    <row r="11" spans="1:6" x14ac:dyDescent="0.25">
      <c r="A11" t="s">
        <v>47</v>
      </c>
      <c r="B11" s="18">
        <f>-B6*Assumptions!B10</f>
        <v>-3147241410.56238</v>
      </c>
      <c r="C11" s="18">
        <f>-C6*Assumptions!B10</f>
        <v>-3283224431.017441</v>
      </c>
      <c r="D11" s="18">
        <f>-D6*Assumptions!B10</f>
        <v>-3425082876.786246</v>
      </c>
      <c r="E11" s="18">
        <f>-E6*Assumptions!B10</f>
        <v>-3573070607.6705694</v>
      </c>
      <c r="F11" s="18">
        <f>-F6*Assumptions!B10</f>
        <v>-3727452452.005613</v>
      </c>
    </row>
    <row r="12" spans="1:6" x14ac:dyDescent="0.25">
      <c r="A12" t="s">
        <v>48</v>
      </c>
      <c r="B12" s="18">
        <f>-(B6-Assumptions!B29)*Assumptions!B11</f>
        <v>-13635101.45752179</v>
      </c>
      <c r="C12" s="18">
        <f>-(C6-B6)*Assumptions!B11</f>
        <v>-14224233.982971672</v>
      </c>
      <c r="D12" s="18">
        <f>-(D6-C6)*Assumptions!B11</f>
        <v>-14838821.18755423</v>
      </c>
      <c r="E12" s="18">
        <f>-(E6-D6)*Assumptions!B11</f>
        <v>-15479962.892891556</v>
      </c>
      <c r="F12" s="18">
        <f>-(F6-E6)*Assumptions!B11</f>
        <v>-16148806.440654678</v>
      </c>
    </row>
    <row r="13" spans="1:6" x14ac:dyDescent="0.25">
      <c r="A13" s="19" t="s">
        <v>49</v>
      </c>
      <c r="B13" s="20">
        <f>B9+B10+B11+B12</f>
        <v>-588473606.436191</v>
      </c>
      <c r="C13" s="20">
        <f>C9+C10+C11+C12</f>
        <v>-613899815.6213889</v>
      </c>
      <c r="D13" s="20">
        <f>D9+D10+D11+D12</f>
        <v>-640424616.3261698</v>
      </c>
      <c r="E13" s="20">
        <f>E9+E10+E11+E12</f>
        <v>-668095475.450461</v>
      </c>
      <c r="F13" s="20">
        <f>F9+F10+F11+F12</f>
        <v>-696961910.7989587</v>
      </c>
    </row>
    <row r="14" spans="1:6" x14ac:dyDescent="0.25">
      <c r="A14" t="s">
        <v>50</v>
      </c>
      <c r="B14" s="21">
        <f>1/(1+Assumptions!$B$26)^(1-0.5*Assumptions!$B$32)</f>
        <v>0.968146067716385</v>
      </c>
      <c r="C14" s="21">
        <f>1/(1+Assumptions!$B$26)^(2-0.5*Assumptions!$B$32)</f>
        <v>0.9074499008298491</v>
      </c>
      <c r="D14" s="21">
        <f>1/(1+Assumptions!$B$26)^(3-0.5*Assumptions!$B$32)</f>
        <v>0.8505589703612102</v>
      </c>
      <c r="E14" s="21">
        <f>1/(1+Assumptions!$B$26)^(4-0.5*Assumptions!$B$32)</f>
        <v>0.7972347138947697</v>
      </c>
      <c r="F14" s="21">
        <f>1/(1+Assumptions!$B$26)^(5-0.5*Assumptions!$B$32)</f>
        <v>0.7472535252540572</v>
      </c>
    </row>
    <row r="15" spans="1:6" x14ac:dyDescent="0.25">
      <c r="A15" s="19" t="s">
        <v>51</v>
      </c>
      <c r="B15" s="20">
        <f>B13*B14</f>
        <v>-569728408.0260779</v>
      </c>
      <c r="C15" s="20">
        <f>C13*C14</f>
        <v>-557083326.805092</v>
      </c>
      <c r="D15" s="20">
        <f>D13*D14</f>
        <v>-544718902.25636</v>
      </c>
      <c r="E15" s="20">
        <f>E13*E14</f>
        <v>-532628905.2251385</v>
      </c>
      <c r="F15" s="20">
        <f>F13*F14</f>
        <v>-520807244.8123256</v>
      </c>
    </row>
    <row r="17" spans="1:2" x14ac:dyDescent="0.25">
      <c r="A17" s="22" t="s">
        <v>52</v>
      </c>
      <c r="B17" s="23">
        <f>SUM(B15:F15)</f>
        <v>-2724966787.124994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-696961910.7989587</v>
      </c>
    </row>
    <row r="5" spans="1:2" x14ac:dyDescent="0.25">
      <c r="A5" t="s">
        <v>56</v>
      </c>
      <c r="B5" s="18">
        <f>IF(Assumptions!$B$33=0,B4,B4-Forecast!F11-Forecast!F10-Forecast!F12)</f>
        <v>1667356967.840987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0.373767384078065</v>
      </c>
    </row>
    <row r="7" spans="1:2" x14ac:dyDescent="0.25">
      <c r="A7" t="s">
        <v>58</v>
      </c>
      <c r="B7" s="18">
        <f>-MAX(Forecast!F9,0)*B6</f>
        <v>-623203652.19426</v>
      </c>
    </row>
    <row r="8" spans="1:2" x14ac:dyDescent="0.25">
      <c r="A8" t="s">
        <v>59</v>
      </c>
      <c r="B8" s="18">
        <f>IF(OR(Assumptions!$B$33=0,Assumptions!B12&lt;=0),B5,MAX(B5+B7,0))</f>
        <v>1044153315.646727</v>
      </c>
    </row>
    <row r="9" spans="1:2" x14ac:dyDescent="0.25">
      <c r="A9" t="s">
        <v>60</v>
      </c>
      <c r="B9" s="18">
        <f>B8*(1+Assumptions!B12)/(Assumptions!B26-Assumptions!B12)</f>
        <v>25551349739.96466</v>
      </c>
    </row>
    <row r="10" spans="1:2" x14ac:dyDescent="0.25">
      <c r="A10" t="s">
        <v>61</v>
      </c>
      <c r="B10" s="18">
        <f>B9/(1+Assumptions!B26)^(5-0.5*Assumptions!B32)</f>
        <v>19093336168.18793</v>
      </c>
    </row>
    <row r="11" spans="1:2" x14ac:dyDescent="0.25">
      <c r="A11" t="s">
        <v>62</v>
      </c>
      <c r="B11" s="18">
        <f>Forecast!B17+B10</f>
        <v>16368369381.062937</v>
      </c>
    </row>
    <row r="12" spans="1:2" x14ac:dyDescent="0.25">
      <c r="A12" t="s">
        <v>63</v>
      </c>
      <c r="B12" s="18">
        <f>-Assumptions!B30</f>
        <v>-16103400000</v>
      </c>
    </row>
    <row r="13" spans="1:2" x14ac:dyDescent="0.25">
      <c r="A13" t="s">
        <v>64</v>
      </c>
      <c r="B13" s="18">
        <f>B11+B12</f>
        <v>264969381.06293678</v>
      </c>
    </row>
    <row r="14" spans="1:2" x14ac:dyDescent="0.25">
      <c r="A14" s="19" t="s">
        <v>65</v>
      </c>
      <c r="B14" s="24">
        <f>B13/Assumptions!B31</f>
        <v>0.5584180844319004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3386864909.79397</v>
      </c>
    </row>
    <row r="18" spans="1:2" x14ac:dyDescent="0.25">
      <c r="A18" t="s">
        <v>60</v>
      </c>
      <c r="B18" s="18">
        <f>B17*Assumptions!B13</f>
        <v>40156789329.60537</v>
      </c>
    </row>
    <row r="19" spans="1:2" x14ac:dyDescent="0.25">
      <c r="A19" t="s">
        <v>61</v>
      </c>
      <c r="B19" s="18">
        <f>B18/(1+Assumptions!B26)^(5-0.5*Assumptions!B32)</f>
        <v>30007302389.43212</v>
      </c>
    </row>
    <row r="20" spans="1:2" x14ac:dyDescent="0.25">
      <c r="A20" t="s">
        <v>62</v>
      </c>
      <c r="B20" s="18">
        <f>Forecast!B17+B19</f>
        <v>27282335602.30713</v>
      </c>
    </row>
    <row r="21" spans="1:2" x14ac:dyDescent="0.25">
      <c r="A21" t="s">
        <v>63</v>
      </c>
      <c r="B21" s="18">
        <f>-Assumptions!B30</f>
        <v>-16103400000</v>
      </c>
    </row>
    <row r="22" spans="1:2" x14ac:dyDescent="0.25">
      <c r="A22" t="s">
        <v>64</v>
      </c>
      <c r="B22" s="18">
        <f>B20+B21</f>
        <v>11178935602.307129</v>
      </c>
    </row>
    <row r="23" spans="1:2" x14ac:dyDescent="0.25">
      <c r="A23" s="19" t="s">
        <v>65</v>
      </c>
      <c r="B23" s="25">
        <f>B22/Assumptions!B31</f>
        <v>23.559400637106698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0.5584180844319004</v>
      </c>
    </row>
    <row r="29" spans="1:2" x14ac:dyDescent="0.25">
      <c r="A29" s="19" t="s">
        <v>73</v>
      </c>
      <c r="B29" s="12">
        <f>B28/B26-1</f>
        <v>-0.9862390812116338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0.046887</v>
      </c>
      <c r="B5" s="31">
        <v>26.077795052930096</v>
      </c>
      <c r="C5" s="31">
        <v>28.820468333858543</v>
      </c>
      <c r="D5" s="31">
        <v>32.696740076525984</v>
      </c>
      <c r="E5" s="31">
        <v>38.71353732102752</v>
      </c>
      <c r="F5" s="31">
        <v>49.57195222917947</v>
      </c>
    </row>
    <row r="6" spans="1:6" x14ac:dyDescent="0.25">
      <c r="A6" s="30">
        <v>0.056887</v>
      </c>
      <c r="B6" s="31">
        <v>9.06311470737643</v>
      </c>
      <c r="C6" s="31">
        <v>9.303894947381368</v>
      </c>
      <c r="D6" s="31">
        <v>9.544675187386323</v>
      </c>
      <c r="E6" s="31">
        <v>9.78545542739127</v>
      </c>
      <c r="F6" s="31">
        <v>10.026235667396207</v>
      </c>
    </row>
    <row r="7" spans="1:6" x14ac:dyDescent="0.25">
      <c r="A7" s="30">
        <v>0.066887</v>
      </c>
      <c r="B7" s="31">
        <v>0.16548440619843124</v>
      </c>
      <c r="C7" s="31">
        <v>0.3617696962311828</v>
      </c>
      <c r="D7" s="32">
        <v>0.5580549862639343</v>
      </c>
      <c r="E7" s="31">
        <v>0.754340276296702</v>
      </c>
      <c r="F7" s="31">
        <v>0.9506255663294536</v>
      </c>
    </row>
    <row r="8" spans="1:6" x14ac:dyDescent="0.25">
      <c r="A8" s="30">
        <v>0.076887</v>
      </c>
      <c r="B8" s="31">
        <v>-6.312491100122623</v>
      </c>
      <c r="C8" s="31">
        <v>-6.148755220841792</v>
      </c>
      <c r="D8" s="31">
        <v>-5.985019341560979</v>
      </c>
      <c r="E8" s="31">
        <v>-5.821283462280161</v>
      </c>
      <c r="F8" s="31">
        <v>-5.657547582999335</v>
      </c>
    </row>
    <row r="9" spans="1:6" x14ac:dyDescent="0.25">
      <c r="A9" s="30">
        <v>0.086887</v>
      </c>
      <c r="B9" s="31">
        <v>-11.211744535018495</v>
      </c>
      <c r="C9" s="31">
        <v>-11.072756376886487</v>
      </c>
      <c r="D9" s="31">
        <v>-10.933768218754485</v>
      </c>
      <c r="E9" s="31">
        <v>-10.794780060622477</v>
      </c>
      <c r="F9" s="31">
        <v>-10.655791902490478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6642200000</v>
      </c>
      <c r="C5" s="18">
        <v>5455100000</v>
      </c>
      <c r="D5" s="18">
        <v>5505400000</v>
      </c>
      <c r="E5" s="18">
        <v>5850600000</v>
      </c>
      <c r="F5" s="8" t="s">
        <v>84</v>
      </c>
    </row>
    <row r="6" spans="1:6" x14ac:dyDescent="0.25">
      <c r="A6" t="s">
        <v>44</v>
      </c>
      <c r="B6" s="18">
        <v>1831900000</v>
      </c>
      <c r="C6" s="18">
        <v>1463800000</v>
      </c>
      <c r="D6" s="18">
        <v>1298400000</v>
      </c>
      <c r="E6" s="18">
        <v>1161600000</v>
      </c>
      <c r="F6" s="8" t="s">
        <v>85</v>
      </c>
    </row>
    <row r="7" spans="1:6" x14ac:dyDescent="0.25">
      <c r="A7" t="s">
        <v>86</v>
      </c>
      <c r="B7" s="18">
        <v>1167600000</v>
      </c>
      <c r="C7" s="18">
        <v>1043200000</v>
      </c>
      <c r="D7" s="18">
        <v>908200000</v>
      </c>
      <c r="E7" s="18">
        <v>820800000</v>
      </c>
      <c r="F7" s="8" t="s">
        <v>87</v>
      </c>
    </row>
    <row r="8" spans="1:6" x14ac:dyDescent="0.25">
      <c r="A8" t="s">
        <v>88</v>
      </c>
      <c r="B8" s="18">
        <v>3156100000</v>
      </c>
      <c r="C8" s="18">
        <v>2643000000</v>
      </c>
      <c r="D8" s="18">
        <v>2645800000</v>
      </c>
      <c r="E8" s="18">
        <v>2203100000</v>
      </c>
      <c r="F8" s="8" t="s">
        <v>89</v>
      </c>
    </row>
    <row r="9" spans="1:6" x14ac:dyDescent="0.25">
      <c r="A9" t="s">
        <v>90</v>
      </c>
      <c r="B9" s="18">
        <v>56400000</v>
      </c>
      <c r="C9" s="18">
        <v>195600000</v>
      </c>
      <c r="D9" s="18">
        <v>-241500000</v>
      </c>
      <c r="E9" s="18">
        <v>263100000</v>
      </c>
      <c r="F9" s="8" t="s">
        <v>91</v>
      </c>
    </row>
    <row r="10" spans="1:6" x14ac:dyDescent="0.25">
      <c r="A10" t="s">
        <v>92</v>
      </c>
      <c r="B10" s="18">
        <v>16213500000</v>
      </c>
      <c r="C10" s="18">
        <v>13960300000</v>
      </c>
      <c r="D10" s="18">
        <v>14127900000</v>
      </c>
      <c r="E10" s="18">
        <v>11315500000</v>
      </c>
      <c r="F10" s="8" t="s">
        <v>93</v>
      </c>
    </row>
    <row r="11" spans="1:6" x14ac:dyDescent="0.25">
      <c r="A11" t="s">
        <v>94</v>
      </c>
      <c r="B11" s="18">
        <v>110100000</v>
      </c>
      <c r="C11" s="18">
        <v>156600000</v>
      </c>
      <c r="D11" s="18">
        <v>2245400000</v>
      </c>
      <c r="E11" s="18">
        <v>40800000</v>
      </c>
      <c r="F11" s="8" t="s">
        <v>95</v>
      </c>
    </row>
    <row r="12" spans="1:6" x14ac:dyDescent="0.25">
      <c r="A12" t="s">
        <v>32</v>
      </c>
      <c r="B12" s="34">
        <v>474500000</v>
      </c>
      <c r="C12" s="34">
        <v>456000000</v>
      </c>
      <c r="D12" s="34">
        <v>447900000</v>
      </c>
      <c r="E12" s="34">
        <v>442700000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2026-09-19T01:06:04Z</dcterms:modified>
</cp:coreProperties>
</file>