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<sst xmlns="http://schemas.openxmlformats.org/spreadsheetml/2006/main" count="122" uniqueCount="109">
  <si>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NiSource Inc. (NI)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</si>
  <si>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</si>
  <si>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</si>
  <si>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</si>
  <si>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</si>
  <si>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</si>
  <si>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</si>
  <si>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</si>
  <si>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</si>
  <si>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</si>
  <si>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</si>
  <si>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</si>
  <si>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</si>
  <si>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</si>
  <si>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</si>
  <si>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</si>
  <si>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</si>
  <si>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</si>
  <si>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</si>
  <si>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</si>
  <si>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</si>
  <si>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</si>
  <si>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</si>
  <si>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</si>
  <si>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+ 111bp, the spread for a BBB rating at 2.8x interest cover. Book interest / average debt was lower, at 4.4%.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</si>
  <si>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</si>
  <si>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</si>
  <si>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</si>
  <si>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</si>
  <si>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</si>
  <si>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</si>
  <si>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</si>
  <si>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</si>
  <si>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</si>
  <si>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</si>
  <si>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</si>
  <si>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</si>
  <si>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</si>
  <si>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</si>
  <si>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</si>
  <si>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</si>
  <si>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</si>
  <si>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</si>
  <si>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</si>
  <si>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</si>
  <si>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</si>
  <si>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</si>
  <si>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</si>
  <si>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</si>
  <si>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</si>
  <si>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</si>
  <si>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</si>
  <si>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</si>
  <si>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</si>
  <si>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</si>
  <si>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</si>
  <si>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</si>
  <si>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</si>
  <si>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</si>
  <si>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</si>
  <si>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</si>
  <si>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</si>
  <si>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</si>
  <si>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</si>
  <si>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</si>
  <si>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</si>
  <si>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</si>
  <si>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</si>
  <si>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</si>
  <si>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</si>
  <si>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</si>
  <si>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</si>
  <si>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</si>
  <si>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</si>
  <si>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</si>
  <si>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</si>
  <si>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</si>
  <si>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</si>
  <si>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</si>
  <si>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</si>
  <si>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</si>
  <si>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</si>
  <si>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</si>
  <si>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</si>
  <si>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</si>
  <si>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</si>
  <si>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</si>
  <si>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</si>
  <si>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</si>
  <si>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</si>
  <si>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</si>
  <si>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</si>
  <si>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</si>
  <si>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</si>
  <si>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</si>
  <si>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</si>
  <si>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</si>
  <si>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</si>
  <si>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</si>
  <si>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</si>
  <si>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</si>
  <si>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</si>
  <si>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</si>
  <si>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</si>
  <si>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</si>
  <si>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3.2%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</si>
  <si>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Free cashflow is negative in at least one forecast year, so terminal value carries most of the valuation.</t>
  </si>
  <si>
    <t>Adjusted: Capital expenditure runs at 45.4% of revenue against depreciation of 16.8%.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</si>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</sst>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0.06731291138478213</v>
      </c>
    </row>
    <row r="7" spans="1:2" x14ac:dyDescent="0.25">
      <c r="A7" t="s">
        <v>4</v>
      </c>
      <c r="B7" s="5">
        <v>0.24462953533988613</v>
      </c>
    </row>
    <row r="8" spans="1:2" x14ac:dyDescent="0.25">
      <c r="A8" t="s">
        <v>5</v>
      </c>
      <c r="B8" s="5">
        <v>0.16947027435467582</v>
      </c>
    </row>
    <row r="9" spans="1:2" x14ac:dyDescent="0.25">
      <c r="A9" t="s">
        <v>6</v>
      </c>
      <c r="B9" s="5">
        <v>0.16806940817351546</v>
      </c>
    </row>
    <row r="10" spans="1:3" x14ac:dyDescent="0.25">
      <c r="A10" t="s">
        <v>7</v>
      </c>
      <c r="B10" s="5">
        <v>0.4542004862640753</v>
      </c>
      <c r="C10" s="6" t="s">
        <v>8</v>
      </c>
    </row>
    <row r="11" spans="1:2" x14ac:dyDescent="0.25">
      <c r="A11" t="s">
        <v>9</v>
      </c>
      <c r="B11" s="5">
        <v>0.10085734019930592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12.496159471911986</v>
      </c>
    </row>
    <row r="14" spans="1:3" x14ac:dyDescent="0.25">
      <c r="A14" t="s">
        <v>12</v>
      </c>
      <c r="B14" s="5">
        <v>0.06610989723667696</v>
      </c>
      <c r="C14" s="6" t="s">
        <v>13</v>
      </c>
    </row>
    <row r="15" spans="1:3" x14ac:dyDescent="0.25">
      <c r="A15" t="s">
        <v>14</v>
      </c>
      <c r="B15" s="5">
        <v>0.16806940817351546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0.69716</v>
      </c>
      <c r="C19" s="6" t="s">
        <v>21</v>
      </c>
    </row>
    <row r="20" spans="1:2" x14ac:dyDescent="0.25">
      <c r="A20" t="s">
        <v>22</v>
      </c>
      <c r="B20" s="9">
        <f>B17+B19*B18</f>
        <v>0.078429868</v>
      </c>
    </row>
    <row r="21" spans="1:3" x14ac:dyDescent="0.25">
      <c r="A21" t="s">
        <v>23</v>
      </c>
      <c r="B21" s="5">
        <v>0.06004</v>
      </c>
      <c r="C21" s="6" t="s">
        <v>24</v>
      </c>
    </row>
    <row r="22" spans="1:2" x14ac:dyDescent="0.25">
      <c r="A22" t="s">
        <v>25</v>
      </c>
      <c r="B22" s="10">
        <v>21378830336</v>
      </c>
    </row>
    <row r="23" spans="1:2" x14ac:dyDescent="0.25">
      <c r="A23" t="s">
        <v>26</v>
      </c>
      <c r="B23" s="10">
        <v>16213500000</v>
      </c>
    </row>
    <row r="24" spans="1:2" x14ac:dyDescent="0.25">
      <c r="A24" t="s">
        <v>27</v>
      </c>
      <c r="B24" s="9">
        <f>B22/(B22+B23)</f>
        <v>0.568701917250571</v>
      </c>
    </row>
    <row r="25" spans="1:2" x14ac:dyDescent="0.25">
      <c r="A25" t="s">
        <v>28</v>
      </c>
      <c r="B25" s="9">
        <f>1-B24</f>
        <v>0.43129808274942905</v>
      </c>
    </row>
    <row r="26" spans="1:2" x14ac:dyDescent="0.25">
      <c r="A26" t="s">
        <v>29</v>
      </c>
      <c r="B26" s="11">
        <f>B24*B20+B25*B21*(1-B8)</f>
        <v>0.06610989723667696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6642200000</v>
      </c>
      <c r="C29" s="6" t="s">
        <v>32</v>
      </c>
    </row>
    <row r="30" spans="1:2" x14ac:dyDescent="0.25">
      <c r="A30" t="s">
        <v>33</v>
      </c>
      <c r="B30" s="10">
        <v>16103400000</v>
      </c>
    </row>
    <row r="31" spans="1:2" x14ac:dyDescent="0.25">
      <c r="A31" t="s">
        <v>34</v>
      </c>
      <c r="B31" s="12">
        <v>474500000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0.06731291138478213</v>
      </c>
      <c r="C5" s="5">
        <v>0.037870173302807286</v>
      </c>
      <c r="D5" s="5">
        <v>0.03626140163995638</v>
      </c>
      <c r="E5" s="5">
        <v>0.03465262997710546</v>
      </c>
      <c r="F5" s="5">
        <v>0.033043858314254555</v>
      </c>
      <c r="G5" s="5">
        <v>0.03143508665140364</v>
      </c>
      <c r="H5" s="5">
        <v>0.029826314988552732</v>
      </c>
      <c r="I5" s="5">
        <v>0.028217543325701824</v>
      </c>
      <c r="J5" s="5">
        <v>0.026608771662850913</v>
      </c>
      <c r="K5" s="5">
        <v>0.025</v>
      </c>
    </row>
    <row r="6" spans="1:11" x14ac:dyDescent="0.25">
      <c r="A6" t="s">
        <v>50</v>
      </c>
      <c r="B6" s="18">
        <f>Assumptions!B29*(1+B5)</f>
        <v>7089305820</v>
      </c>
      <c r="C6" s="18">
        <f>B6*(1+C5)</f>
        <v>7357779060</v>
      </c>
      <c r="D6" s="18">
        <f>C6*(1+D5)</f>
        <v>7624582441.67272</v>
      </c>
      <c r="E6" s="18">
        <f>D6*(1+E5)</f>
        <v>7888794275.753941</v>
      </c>
      <c r="F6" s="18">
        <f>E6*(1+F5)</f>
        <v>8149470476.072256</v>
      </c>
      <c r="G6" s="18">
        <f>F6*(1+G5)</f>
        <v>8405649786.650643</v>
      </c>
      <c r="H6" s="18">
        <f>G6*(1+H5)</f>
        <v>8656359344.870747</v>
      </c>
      <c r="I6" s="18">
        <f>H6*(1+I5)</f>
        <v>8900620539.727482</v>
      </c>
      <c r="J6" s="18">
        <f>I6*(1+J5)</f>
        <v>9137455119.32677</v>
      </c>
      <c r="K6" s="18">
        <f>J6*(1+K5)</f>
        <v>9365891497.309938</v>
      </c>
    </row>
    <row r="7" spans="1:11" x14ac:dyDescent="0.25">
      <c r="A7" t="s">
        <v>4</v>
      </c>
      <c r="B7" s="9">
        <f>Assumptions!B7</f>
        <v>0.24462953533988613</v>
      </c>
      <c r="C7" s="9">
        <f>Assumptions!B7</f>
        <v>0.24462953533988613</v>
      </c>
      <c r="D7" s="9">
        <f>Assumptions!B7</f>
        <v>0.24462953533988613</v>
      </c>
      <c r="E7" s="9">
        <f>Assumptions!B7</f>
        <v>0.24462953533988613</v>
      </c>
      <c r="F7" s="9">
        <f>Assumptions!B7</f>
        <v>0.24462953533988613</v>
      </c>
      <c r="G7" s="9">
        <f>Assumptions!B7</f>
        <v>0.24462953533988613</v>
      </c>
      <c r="H7" s="9">
        <f>Assumptions!B7</f>
        <v>0.24462953533988613</v>
      </c>
      <c r="I7" s="9">
        <f>Assumptions!B7</f>
        <v>0.24462953533988613</v>
      </c>
      <c r="J7" s="9">
        <f>Assumptions!B7</f>
        <v>0.24462953533988613</v>
      </c>
      <c r="K7" s="9">
        <f>Assumptions!B7</f>
        <v>0.24462953533988613</v>
      </c>
    </row>
    <row r="8" spans="1:11" x14ac:dyDescent="0.25">
      <c r="A8" t="s">
        <v>51</v>
      </c>
      <c r="B8" s="18">
        <f>B6*B7</f>
        <v>1734253588.6289504</v>
      </c>
      <c r="C8" s="18">
        <f>C6*C7</f>
        <v>1799930072.5813441</v>
      </c>
      <c r="D8" s="18">
        <f>D6*D7</f>
        <v>1865198059.8670518</v>
      </c>
      <c r="E8" s="18">
        <f>E6*E7</f>
        <v>1929832078.06964</v>
      </c>
      <c r="F8" s="18">
        <f>F6*F7</f>
        <v>1993601175.8276765</v>
      </c>
      <c r="G8" s="18">
        <f>G6*G7</f>
        <v>2056270201.5381598</v>
      </c>
      <c r="H8" s="18">
        <f>H6*H7</f>
        <v>2117601164.2708118</v>
      </c>
      <c r="I8" s="18">
        <f>I6*I7</f>
        <v>2177354666.87018</v>
      </c>
      <c r="J8" s="18">
        <f>J6*J7</f>
        <v>2235291400.0299716</v>
      </c>
      <c r="K8" s="18">
        <f>K6*K7</f>
        <v>2291173685.0307207</v>
      </c>
    </row>
    <row r="9" spans="1:11" x14ac:dyDescent="0.25">
      <c r="A9" t="s">
        <v>52</v>
      </c>
      <c r="B9" s="18">
        <f>B8*(1-Assumptions!B8)</f>
        <v>1440349157.163421</v>
      </c>
      <c r="C9" s="18">
        <f>C8*(1-Assumptions!B8)</f>
        <v>1494895429.361752</v>
      </c>
      <c r="D9" s="18">
        <f>D8*(1-Assumptions!B8)</f>
        <v>1549102432.9355733</v>
      </c>
      <c r="E9" s="18">
        <f>E8*(1-Assumptions!B8)</f>
        <v>1602782906.3407238</v>
      </c>
      <c r="F9" s="18">
        <f>F8*(1-Assumptions!B8)</f>
        <v>1655745037.6063557</v>
      </c>
      <c r="G9" s="18">
        <f>G8*(1-Assumptions!B8)</f>
        <v>1707793526.3361433</v>
      </c>
      <c r="H9" s="18">
        <f>H8*(1-Assumptions!B8)</f>
        <v>1758730713.9880562</v>
      </c>
      <c r="I9" s="18">
        <f>I8*(1-Assumptions!B8)</f>
        <v>1808357774.1082568</v>
      </c>
      <c r="J9" s="18">
        <f>J8*(1-Assumptions!B8)</f>
        <v>1856475953.2042449</v>
      </c>
      <c r="K9" s="18">
        <f>K8*(1-Assumptions!B8)</f>
        <v>1902887852.0343506</v>
      </c>
    </row>
    <row r="10" spans="1:11" x14ac:dyDescent="0.25">
      <c r="A10" t="s">
        <v>53</v>
      </c>
      <c r="B10" s="18">
        <f>B6*Assumptions!B9</f>
        <v>1191495433.5284586</v>
      </c>
      <c r="C10" s="18">
        <f>C6*Assumptions!B9</f>
        <v>1236617572.0856848</v>
      </c>
      <c r="D10" s="18">
        <f>D6*Assumptions!B9</f>
        <v>1281459058.5421114</v>
      </c>
      <c r="E10" s="18">
        <f>E6*Assumptions!B9</f>
        <v>1325864985.1285813</v>
      </c>
      <c r="F10" s="18">
        <f>F6*Assumptions!B9</f>
        <v>1369676679.8410013</v>
      </c>
      <c r="G10" s="18">
        <f>G6*Assumptions!B9</f>
        <v>1412732584.9562101</v>
      </c>
      <c r="H10" s="18">
        <f>H6*Assumptions!B9</f>
        <v>1454869192.0297062</v>
      </c>
      <c r="I10" s="18">
        <f>I6*Assumptions!B9</f>
        <v>1495922026.4890337</v>
      </c>
      <c r="J10" s="18">
        <f>J6*Assumptions!B9</f>
        <v>1535726674.1173093</v>
      </c>
      <c r="K10" s="18">
        <f>K6*Assumptions!B9</f>
        <v>1574119840.9702418</v>
      </c>
    </row>
    <row r="11" spans="1:11" x14ac:dyDescent="0.25">
      <c r="A11" t="s">
        <v>54</v>
      </c>
      <c r="B11" s="18">
        <f>-B6*B19</f>
        <v>-3219966150.718739</v>
      </c>
      <c r="C11" s="18">
        <f>-C6*C19</f>
        <v>-3170797684.1887</v>
      </c>
      <c r="D11" s="18">
        <f>-D6*D19</f>
        <v>-3108461452.4999404</v>
      </c>
      <c r="E11" s="18">
        <f>-E6*E19</f>
        <v>-3032719627.474929</v>
      </c>
      <c r="F11" s="18">
        <f>-F6*F19</f>
        <v>-2943412029.193844</v>
      </c>
      <c r="G11" s="18">
        <f>-G6*G19</f>
        <v>-2840460496.6123595</v>
      </c>
      <c r="H11" s="18">
        <f>-H6*H19</f>
        <v>-2723872634.5728602</v>
      </c>
      <c r="I11" s="18">
        <f>-I6*I19</f>
        <v>-2593744870.56201</v>
      </c>
      <c r="J11" s="18">
        <f>-J6*J19</f>
        <v>-2450264760.8830705</v>
      </c>
      <c r="K11" s="18">
        <f>-K6*K19</f>
        <v>-2293712493.3464475</v>
      </c>
    </row>
    <row r="12" spans="1:11" x14ac:dyDescent="0.25">
      <c r="A12" t="s">
        <v>55</v>
      </c>
      <c r="B12" s="18">
        <f>-(B6-Assumptions!B29)*Assumptions!B11</f>
        <v>-45093903.79282964</v>
      </c>
      <c r="C12" s="18">
        <f>-(C6-B6)*Assumptions!B11</f>
        <v>-27077496.901089907</v>
      </c>
      <c r="D12" s="18">
        <f>-(D6-C6)*Assumptions!B11</f>
        <v>-26909079.43169078</v>
      </c>
      <c r="E12" s="18">
        <f>-(E6-D6)*Assumptions!B11</f>
        <v>-26647702.83461224</v>
      </c>
      <c r="F12" s="18">
        <f>-(F6-E6)*Assumptions!B11</f>
        <v>-26291108.217366766</v>
      </c>
      <c r="G12" s="18">
        <f>-(G6-F6)*Assumptions!B11</f>
        <v>-25837563.879028056</v>
      </c>
      <c r="H12" s="18">
        <f>-(H6-G6)*Assumptions!B11</f>
        <v>-25285899.20462265</v>
      </c>
      <c r="I12" s="18">
        <f>-(I6-H6)*Assumptions!B11</f>
        <v>-24635534.427154697</v>
      </c>
      <c r="J12" s="18">
        <f>-(J6-I6)*Assumptions!B11</f>
        <v>-23886505.765605085</v>
      </c>
      <c r="K12" s="18">
        <f>-(K6-J6)*Assumptions!B11</f>
        <v>-23039485.48814558</v>
      </c>
    </row>
    <row r="13" spans="1:11" x14ac:dyDescent="0.25">
      <c r="A13" s="19" t="s">
        <v>56</v>
      </c>
      <c r="B13" s="20">
        <f>B9+B10+B11+B12</f>
        <v>-633215463.8196894</v>
      </c>
      <c r="C13" s="20">
        <f>C9+C10+C11+C12</f>
        <v>-466362179.6423533</v>
      </c>
      <c r="D13" s="20">
        <f>D9+D10+D11+D12</f>
        <v>-304809040.4539462</v>
      </c>
      <c r="E13" s="20">
        <f>E9+E10+E11+E12</f>
        <v>-130719438.84023605</v>
      </c>
      <c r="F13" s="20">
        <f>F9+F10+F11+F12</f>
        <v>55718580.036146566</v>
      </c>
      <c r="G13" s="20">
        <f>G9+G10+G11+G12</f>
        <v>254228050.80096605</v>
      </c>
      <c r="H13" s="20">
        <f>H9+H10+H11+H12</f>
        <v>464441372.2402793</v>
      </c>
      <c r="I13" s="20">
        <f>I9+I10+I11+I12</f>
        <v>685899395.608126</v>
      </c>
      <c r="J13" s="20">
        <f>J9+J10+J11+J12</f>
        <v>918051360.6728786</v>
      </c>
      <c r="K13" s="20">
        <f>K9+K10+K11+K12</f>
        <v>1160255714.1699994</v>
      </c>
    </row>
    <row r="14" spans="1:11" x14ac:dyDescent="0.25">
      <c r="A14" t="s">
        <v>57</v>
      </c>
      <c r="B14" s="21">
        <f>1/(1+Assumptions!$B$26)^(1-0.5*Assumptions!$B$32)</f>
        <v>0.9684986338095277</v>
      </c>
      <c r="C14" s="21">
        <f>1/(1+Assumptions!$B$26)^(2-0.5*Assumptions!$B$32)</f>
        <v>0.9084416497021982</v>
      </c>
      <c r="D14" s="21">
        <f>1/(1+Assumptions!$B$26)^(3-0.5*Assumptions!$B$32)</f>
        <v>0.8521088229804922</v>
      </c>
      <c r="E14" s="21">
        <f>1/(1+Assumptions!$B$26)^(4-0.5*Assumptions!$B$32)</f>
        <v>0.7992692171690098</v>
      </c>
      <c r="F14" s="21">
        <f>1/(1+Assumptions!$B$26)^(5-0.5*Assumptions!$B$32)</f>
        <v>0.7497062162547127</v>
      </c>
      <c r="G14" s="21">
        <f>1/(1+Assumptions!$B$26)^(6-0.5*Assumptions!$B$32)</f>
        <v>0.7032166366693786</v>
      </c>
      <c r="H14" s="21">
        <f>1/(1+Assumptions!$B$26)^(7-0.5*Assumptions!$B$32)</f>
        <v>0.6596098943383734</v>
      </c>
      <c r="I14" s="21">
        <f>1/(1+Assumptions!$B$26)^(8-0.5*Assumptions!$B$32)</f>
        <v>0.6187072233810617</v>
      </c>
      <c r="J14" s="21">
        <f>1/(1+Assumptions!$B$26)^(9-0.5*Assumptions!$B$32)</f>
        <v>0.5803409432599127</v>
      </c>
      <c r="K14" s="21">
        <f>1/(1+Assumptions!$B$26)^(10-0.5*Assumptions!$B$32)</f>
        <v>0.5443537713739812</v>
      </c>
    </row>
    <row r="15" spans="1:11" x14ac:dyDescent="0.25">
      <c r="A15" s="19" t="s">
        <v>58</v>
      </c>
      <c r="B15" s="20">
        <f>B13*B14</f>
        <v>-613268311.6164356</v>
      </c>
      <c r="C15" s="20">
        <f>C13*C14</f>
        <v>-423662827.83301234</v>
      </c>
      <c r="D15" s="20">
        <f>D13*D14</f>
        <v>-259730472.6950253</v>
      </c>
      <c r="E15" s="20">
        <f>E13*E14</f>
        <v>-104480023.55060773</v>
      </c>
      <c r="F15" s="20">
        <f>F13*F14</f>
        <v>41772565.81398481</v>
      </c>
      <c r="G15" s="20">
        <f>G13*G14</f>
        <v>178777394.83126727</v>
      </c>
      <c r="H15" s="20">
        <f>H13*H14</f>
        <v>306350124.4697798</v>
      </c>
      <c r="I15" s="20">
        <f>I13*I14</f>
        <v>424370910.575452</v>
      </c>
      <c r="J15" s="20">
        <f>J13*J14</f>
        <v>532782792.6139447</v>
      </c>
      <c r="K15" s="20">
        <f>K13*K14</f>
        <v>631589573.7666512</v>
      </c>
    </row>
    <row r="17" spans="1:2" x14ac:dyDescent="0.25">
      <c r="A17" s="22" t="s">
        <v>59</v>
      </c>
      <c r="B17" s="23">
        <f>SUM(B15:K15)</f>
        <v>714501726.3759989</v>
      </c>
    </row>
    <row r="19" spans="1:11" x14ac:dyDescent="0.25">
      <c r="A19" t="s">
        <v>7</v>
      </c>
      <c r="B19" s="9">
        <f>Assumptions!$B$10+($B$20-Assumptions!$B$10)*0/9</f>
        <v>0.4542004862640753</v>
      </c>
      <c r="C19" s="9">
        <f>Assumptions!$B$10+($B$20-Assumptions!$B$10)*1/9</f>
        <v>0.43094494389298776</v>
      </c>
      <c r="D19" s="9">
        <f>Assumptions!$B$10+($B$20-Assumptions!$B$10)*2/9</f>
        <v>0.4076894015219003</v>
      </c>
      <c r="E19" s="9">
        <f>Assumptions!$B$10+($B$20-Assumptions!$B$10)*3/9</f>
        <v>0.3844338591508128</v>
      </c>
      <c r="F19" s="9">
        <f>Assumptions!$B$10+($B$20-Assumptions!$B$10)*4/9</f>
        <v>0.3611783167797253</v>
      </c>
      <c r="G19" s="9">
        <f>Assumptions!$B$10+($B$20-Assumptions!$B$10)*5/9</f>
        <v>0.33792277440863777</v>
      </c>
      <c r="H19" s="9">
        <f>Assumptions!$B$10+($B$20-Assumptions!$B$10)*6/9</f>
        <v>0.3146672320375503</v>
      </c>
      <c r="I19" s="9">
        <f>Assumptions!$B$10+($B$20-Assumptions!$B$10)*7/9</f>
        <v>0.2914116896664628</v>
      </c>
      <c r="J19" s="9">
        <f>Assumptions!$B$10+($B$20-Assumptions!$B$10)*8/9</f>
        <v>0.2681561472953753</v>
      </c>
      <c r="K19" s="9">
        <f>Assumptions!$B$10+($B$20-Assumptions!$B$10)*9/9</f>
        <v>0.2449006049242878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0.2449006049242878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1160255714.1699994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1902887852.0343506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0.37815820391459193</v>
      </c>
    </row>
    <row r="7" spans="1:2" x14ac:dyDescent="0.25">
      <c r="A7" t="s">
        <v>66</v>
      </c>
      <c r="B7" s="18">
        <f>-MAX(B5,0)*B6</f>
        <v>-719592652.3762058</v>
      </c>
    </row>
    <row r="8" spans="1:2" x14ac:dyDescent="0.25">
      <c r="A8" t="s">
        <v>67</v>
      </c>
      <c r="B8" s="18">
        <f>IF(OR(Assumptions!$B$33=0,Assumptions!B12&lt;=0),B5,MAX(B5+B7,0))</f>
        <v>1183295199.658145</v>
      </c>
    </row>
    <row r="9" spans="1:2" x14ac:dyDescent="0.25">
      <c r="A9" t="s">
        <v>68</v>
      </c>
      <c r="B9" s="18">
        <f>B8*(1+Assumptions!B12)/(Assumptions!B26-Assumptions!B12)</f>
        <v>29503298747.42443</v>
      </c>
    </row>
    <row r="10" spans="1:2" x14ac:dyDescent="0.25">
      <c r="A10" t="s">
        <v>69</v>
      </c>
      <c r="B10" s="18">
        <f>B9/(1+Assumptions!B26)^(10-0.5*Assumptions!B32)</f>
        <v>16060231941.133745</v>
      </c>
    </row>
    <row r="11" spans="1:2" x14ac:dyDescent="0.25">
      <c r="A11" t="s">
        <v>70</v>
      </c>
      <c r="B11" s="18">
        <f>Forecast!B17+B10</f>
        <v>16774733667.509745</v>
      </c>
    </row>
    <row r="12" spans="1:2" x14ac:dyDescent="0.25">
      <c r="A12" t="s">
        <v>71</v>
      </c>
      <c r="B12" s="18">
        <f>-Assumptions!B30</f>
        <v>-16103400000</v>
      </c>
    </row>
    <row r="13" spans="1:2" x14ac:dyDescent="0.25">
      <c r="A13" t="s">
        <v>72</v>
      </c>
      <c r="B13" s="18">
        <f>B11+B12</f>
        <v>671333667.5097446</v>
      </c>
    </row>
    <row r="14" spans="1:2" x14ac:dyDescent="0.25">
      <c r="A14" s="19" t="s">
        <v>73</v>
      </c>
      <c r="B14" s="24">
        <f>B13/Assumptions!B31</f>
        <v>1.4148233245726969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3865293526.0009623</v>
      </c>
    </row>
    <row r="18" spans="1:2" x14ac:dyDescent="0.25">
      <c r="A18" t="s">
        <v>68</v>
      </c>
      <c r="B18" s="18">
        <f>B17*Assumptions!B13</f>
        <v>48301324306.657</v>
      </c>
    </row>
    <row r="19" spans="1:2" x14ac:dyDescent="0.25">
      <c r="A19" t="s">
        <v>69</v>
      </c>
      <c r="B19" s="18">
        <f>B18/(1+Assumptions!B26)^(10-0.5*Assumptions!B32)</f>
        <v>26293008048.686485</v>
      </c>
    </row>
    <row r="20" spans="1:2" x14ac:dyDescent="0.25">
      <c r="A20" t="s">
        <v>70</v>
      </c>
      <c r="B20" s="18">
        <f>Forecast!B17+B19</f>
        <v>27007509775.062485</v>
      </c>
    </row>
    <row r="21" spans="1:2" x14ac:dyDescent="0.25">
      <c r="A21" t="s">
        <v>71</v>
      </c>
      <c r="B21" s="18">
        <f>-Assumptions!B30</f>
        <v>-16103400000</v>
      </c>
    </row>
    <row r="22" spans="1:2" x14ac:dyDescent="0.25">
      <c r="A22" t="s">
        <v>72</v>
      </c>
      <c r="B22" s="18">
        <f>B20+B21</f>
        <v>10904109775.062485</v>
      </c>
    </row>
    <row r="23" spans="1:2" x14ac:dyDescent="0.25">
      <c r="A23" s="19" t="s">
        <v>73</v>
      </c>
      <c r="B23" s="25">
        <f>B22/Assumptions!B31</f>
        <v>22.980210274104287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44.57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1.4148233245726969</v>
      </c>
    </row>
    <row r="29" spans="1:2" x14ac:dyDescent="0.25">
      <c r="A29" s="19" t="s">
        <v>81</v>
      </c>
      <c r="B29" s="11">
        <f>B28/B26-1</f>
        <v>-0.9682561515689321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0.04611</v>
      </c>
      <c r="B5" s="31">
        <v>31.500994963382137</v>
      </c>
      <c r="C5" s="31">
        <v>33.117323247026874</v>
      </c>
      <c r="D5" s="31">
        <v>35.97998622469765</v>
      </c>
      <c r="E5" s="31">
        <v>41.249444505357296</v>
      </c>
      <c r="F5" s="31">
        <v>52.17519669790159</v>
      </c>
    </row>
    <row r="6" spans="1:6" x14ac:dyDescent="0.25">
      <c r="A6" s="30">
        <v>0.05611</v>
      </c>
      <c r="B6" s="31">
        <v>12.490297187406872</v>
      </c>
      <c r="C6" s="31">
        <v>11.55755040062011</v>
      </c>
      <c r="D6" s="31">
        <v>10.624803613833365</v>
      </c>
      <c r="E6" s="31">
        <v>9.69205682704661</v>
      </c>
      <c r="F6" s="31">
        <v>8.759310040259848</v>
      </c>
    </row>
    <row r="7" spans="1:6" x14ac:dyDescent="0.25">
      <c r="A7" s="30">
        <v>0.06611</v>
      </c>
      <c r="B7" s="31">
        <v>2.9102904060517645</v>
      </c>
      <c r="C7" s="31">
        <v>2.16251709470853</v>
      </c>
      <c r="D7" s="32">
        <v>1.4147437833652758</v>
      </c>
      <c r="E7" s="31">
        <v>0.6669704720220334</v>
      </c>
      <c r="F7" s="31">
        <v>-0.08080283932122088</v>
      </c>
    </row>
    <row r="8" spans="1:6" x14ac:dyDescent="0.25">
      <c r="A8" s="30">
        <v>0.07611</v>
      </c>
      <c r="B8" s="31">
        <v>-4.017231383767863</v>
      </c>
      <c r="C8" s="31">
        <v>-4.631293897205807</v>
      </c>
      <c r="D8" s="31">
        <v>-5.245356410643775</v>
      </c>
      <c r="E8" s="31">
        <v>-5.859418924081728</v>
      </c>
      <c r="F8" s="31">
        <v>-6.473481437519693</v>
      </c>
    </row>
    <row r="9" spans="1:6" x14ac:dyDescent="0.25">
      <c r="A9" s="30">
        <v>0.08611</v>
      </c>
      <c r="B9" s="31">
        <v>-9.225561684698572</v>
      </c>
      <c r="C9" s="31">
        <v>-9.73912603870822</v>
      </c>
      <c r="D9" s="31">
        <v>-10.252690392717861</v>
      </c>
      <c r="E9" s="31">
        <v>-10.766254746727508</v>
      </c>
      <c r="F9" s="31">
        <v>-11.279819100737155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6642200000</v>
      </c>
      <c r="C5" s="18">
        <v>5455100000</v>
      </c>
      <c r="D5" s="18">
        <v>5505400000</v>
      </c>
      <c r="E5" s="18">
        <v>5850600000</v>
      </c>
      <c r="F5" s="6" t="s">
        <v>91</v>
      </c>
    </row>
    <row r="6" spans="1:6" x14ac:dyDescent="0.25">
      <c r="A6" t="s">
        <v>51</v>
      </c>
      <c r="B6" s="18">
        <v>1831900000</v>
      </c>
      <c r="C6" s="18">
        <v>1463800000</v>
      </c>
      <c r="D6" s="18">
        <v>1298400000</v>
      </c>
      <c r="E6" s="18">
        <v>1161600000</v>
      </c>
      <c r="F6" s="6" t="s">
        <v>92</v>
      </c>
    </row>
    <row r="7" spans="1:6" x14ac:dyDescent="0.25">
      <c r="A7" t="s">
        <v>93</v>
      </c>
      <c r="B7" s="18">
        <v>1167600000</v>
      </c>
      <c r="C7" s="18">
        <v>1043200000</v>
      </c>
      <c r="D7" s="18">
        <v>908200000</v>
      </c>
      <c r="E7" s="18">
        <v>820800000</v>
      </c>
      <c r="F7" s="6" t="s">
        <v>94</v>
      </c>
    </row>
    <row r="8" spans="1:6" x14ac:dyDescent="0.25">
      <c r="A8" t="s">
        <v>95</v>
      </c>
      <c r="B8" s="18">
        <v>3156100000</v>
      </c>
      <c r="C8" s="18">
        <v>2643000000</v>
      </c>
      <c r="D8" s="18">
        <v>2645800000</v>
      </c>
      <c r="E8" s="18">
        <v>2203100000</v>
      </c>
      <c r="F8" s="6" t="s">
        <v>96</v>
      </c>
    </row>
    <row r="9" spans="1:6" x14ac:dyDescent="0.25">
      <c r="A9" t="s">
        <v>97</v>
      </c>
      <c r="B9" s="18">
        <v>56400000</v>
      </c>
      <c r="C9" s="18">
        <v>195600000</v>
      </c>
      <c r="D9" s="18">
        <v>-241500000</v>
      </c>
      <c r="E9" s="18">
        <v>263100000</v>
      </c>
      <c r="F9" s="6" t="s">
        <v>98</v>
      </c>
    </row>
    <row r="10" spans="1:6" x14ac:dyDescent="0.25">
      <c r="A10" t="s">
        <v>99</v>
      </c>
      <c r="B10" s="18">
        <v>16213500000</v>
      </c>
      <c r="C10" s="18">
        <v>13960300000</v>
      </c>
      <c r="D10" s="18">
        <v>14127900000</v>
      </c>
      <c r="E10" s="18">
        <v>11315500000</v>
      </c>
      <c r="F10" s="6" t="s">
        <v>100</v>
      </c>
    </row>
    <row r="11" spans="1:6" x14ac:dyDescent="0.25">
      <c r="A11" t="s">
        <v>101</v>
      </c>
      <c r="B11" s="18">
        <v>110100000</v>
      </c>
      <c r="C11" s="18">
        <v>156600000</v>
      </c>
      <c r="D11" s="18">
        <v>2245400000</v>
      </c>
      <c r="E11" s="18">
        <v>40800000</v>
      </c>
      <c r="F11" s="6" t="s">
        <v>102</v>
      </c>
    </row>
    <row r="12" spans="1:6" x14ac:dyDescent="0.25">
      <c r="A12" t="s">
        <v>34</v>
      </c>
      <c r="B12" s="34">
        <v>474500000</v>
      </c>
      <c r="C12" s="34">
        <v>456000000</v>
      </c>
      <c r="D12" s="34">
        <v>447900000</v>
      </c>
      <c r="E12" s="34">
        <v>442700000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22" customHeight="1" spans="1:6" x14ac:dyDescent="0.25">
      <c r="A17" s="35" t="s">
        <v>106</v>
      </c>
      <c r="B17" s="35"/>
      <c r="C17" s="35"/>
      <c r="D17" s="35"/>
      <c r="E17" s="35"/>
      <c r="F17" s="35"/>
    </row>
    <row r="18" ht="54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