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<sst xmlns="http://schemas.openxmlformats.org/spreadsheetml/2006/main" count="113" uniqueCount="101">
  <si>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NIBE Industrier AB (publ) (NIBE-B.ST)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</si>
  <si>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</si>
  <si>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</si>
  <si>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</si>
  <si>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</si>
  <si>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</si>
  <si>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</si>
  <si>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</si>
  <si>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</si>
  <si>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</si>
  <si>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</si>
  <si>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</si>
  <si>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</si>
  <si>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</si>
  <si>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</si>
  <si>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</si>
  <si>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</si>
  <si>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</si>
  <si>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</si>
  <si>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</si>
  <si>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</si>
  <si>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</si>
  <si>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</si>
  <si>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</si>
  <si>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</si>
  <si>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</si>
  <si>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</si>
  <si>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</si>
  <si>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</si>
  <si>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</si>
  <si>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</si>
  <si>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</si>
  <si>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</si>
  <si>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</si>
  <si>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</si>
  <si>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</si>
  <si>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</si>
  <si>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</si>
  <si>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</si>
  <si>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</si>
  <si>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</si>
  <si>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</si>
  <si>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</si>
  <si>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</si>
  <si>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</si>
  <si>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</si>
  <si>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</si>
  <si>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</si>
  <si>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</si>
  <si>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</si>
  <si>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</si>
  <si>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</si>
  <si>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</si>
  <si>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</si>
  <si>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</si>
  <si>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</si>
  <si>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</si>
  <si>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</si>
  <si>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</si>
  <si>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</si>
  <si>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</si>
  <si>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</si>
  <si>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</si>
  <si>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</si>
  <si>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</si>
  <si>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</si>
  <si>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</si>
  <si>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</si>
  <si>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</si>
  <si>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</si>
  <si>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</si>
  <si>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</si>
  <si>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</si>
  <si>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</si>
  <si>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</si>
  <si>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</si>
  <si>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</si>
  <si>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</si>
  <si>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</si>
  <si>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</si>
  <si>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</si>
  <si>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</si>
  <si>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</si>
  <si>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</si>
  <si>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</si>
  <si>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</si>
  <si>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</si>
  <si>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</si>
  <si>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</si>
  <si>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</si>
  <si>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</si>
  <si>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</si>
  <si>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</si>
  <si>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</si>
  <si>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</si>
  <si>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</si>
  <si>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</si>
  <si>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</si>
  <si>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6.0% of revenue against depreciation of 4.7%.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</si>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</sst>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0.006364701890387403</v>
      </c>
    </row>
    <row r="7" spans="1:2" x14ac:dyDescent="0.25">
      <c r="A7" t="s">
        <v>5</v>
      </c>
      <c r="B7" s="6">
        <v>0.10307882814459403</v>
      </c>
    </row>
    <row r="8" spans="1:2" x14ac:dyDescent="0.25">
      <c r="A8" t="s">
        <v>6</v>
      </c>
      <c r="B8" s="6">
        <v>0.24297366546227558</v>
      </c>
    </row>
    <row r="9" spans="1:2" x14ac:dyDescent="0.25">
      <c r="A9" t="s">
        <v>7</v>
      </c>
      <c r="B9" s="6">
        <v>0.04671972440310079</v>
      </c>
    </row>
    <row r="10" spans="1:2" x14ac:dyDescent="0.25">
      <c r="A10" t="s">
        <v>8</v>
      </c>
      <c r="B10" s="6">
        <v>0.06034261302009013</v>
      </c>
    </row>
    <row r="11" spans="1:2" x14ac:dyDescent="0.25">
      <c r="A11" t="s">
        <v>9</v>
      </c>
      <c r="B11" s="6">
        <v>0.0293733681462141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16.608018045461872</v>
      </c>
    </row>
    <row r="14" spans="1:3" x14ac:dyDescent="0.25">
      <c r="A14" t="s">
        <v>12</v>
      </c>
      <c r="B14" s="6">
        <v>0.08990961784655022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0.95042</v>
      </c>
      <c r="C19" s="8" t="s">
        <v>19</v>
      </c>
    </row>
    <row r="20" spans="1:2" x14ac:dyDescent="0.25">
      <c r="A20" t="s">
        <v>20</v>
      </c>
      <c r="B20" s="10">
        <f>B17+B19*B18</f>
        <v>0.10377730000000002</v>
      </c>
    </row>
    <row r="21" spans="1:3" x14ac:dyDescent="0.25">
      <c r="A21" t="s">
        <v>21</v>
      </c>
      <c r="B21" s="6">
        <v>0.04604411280588171</v>
      </c>
      <c r="C21" s="8" t="s">
        <v>22</v>
      </c>
    </row>
    <row r="22" spans="1:2" x14ac:dyDescent="0.25">
      <c r="A22" t="s">
        <v>23</v>
      </c>
      <c r="B22" s="11">
        <v>86650535936</v>
      </c>
    </row>
    <row r="23" spans="1:2" x14ac:dyDescent="0.25">
      <c r="A23" t="s">
        <v>24</v>
      </c>
      <c r="B23" s="11">
        <v>21827000000</v>
      </c>
    </row>
    <row r="24" spans="1:2" x14ac:dyDescent="0.25">
      <c r="A24" t="s">
        <v>25</v>
      </c>
      <c r="B24" s="10">
        <f>B22/(B22+B23)</f>
        <v>0.7987878337052422</v>
      </c>
    </row>
    <row r="25" spans="1:2" x14ac:dyDescent="0.25">
      <c r="A25" t="s">
        <v>26</v>
      </c>
      <c r="B25" s="10">
        <f>1-B24</f>
        <v>0.2012121662947578</v>
      </c>
    </row>
    <row r="26" spans="1:2" x14ac:dyDescent="0.25">
      <c r="A26" t="s">
        <v>27</v>
      </c>
      <c r="B26" s="12">
        <f>B24*B20+B25*B21*(1-B8)</f>
        <v>0.08990961784655022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40841000000</v>
      </c>
      <c r="C29" s="8" t="s">
        <v>30</v>
      </c>
    </row>
    <row r="30" spans="1:2" x14ac:dyDescent="0.25">
      <c r="A30" t="s">
        <v>31</v>
      </c>
      <c r="B30" s="11">
        <v>16369000000</v>
      </c>
    </row>
    <row r="31" spans="1:2" x14ac:dyDescent="0.25">
      <c r="A31" t="s">
        <v>32</v>
      </c>
      <c r="B31" s="13">
        <v>2016066488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0.006364701890387403</v>
      </c>
      <c r="C5" s="10">
        <f>Assumptions!B6</f>
        <v>0.006364701890387403</v>
      </c>
      <c r="D5" s="10">
        <f>Assumptions!B6</f>
        <v>0.006364701890387403</v>
      </c>
      <c r="E5" s="10">
        <f>Assumptions!B6</f>
        <v>0.006364701890387403</v>
      </c>
      <c r="F5" s="10">
        <f>Assumptions!B6</f>
        <v>0.006364701890387403</v>
      </c>
    </row>
    <row r="6" spans="1:6" x14ac:dyDescent="0.25">
      <c r="A6" t="s">
        <v>43</v>
      </c>
      <c r="B6" s="18">
        <f>Assumptions!B29*(1+B5)</f>
        <v>41100940789.90531</v>
      </c>
      <c r="C6" s="18">
        <f>B6*(1+C5)</f>
        <v>41362536025.447525</v>
      </c>
      <c r="D6" s="18">
        <f>C6*(1+D5)</f>
        <v>41625796236.67991</v>
      </c>
      <c r="E6" s="18">
        <f>D6*(1+E5)</f>
        <v>41890732020.676384</v>
      </c>
      <c r="F6" s="18">
        <f>E6*(1+F5)</f>
        <v>42157354041.95809</v>
      </c>
    </row>
    <row r="7" spans="1:6" x14ac:dyDescent="0.25">
      <c r="A7" t="s">
        <v>5</v>
      </c>
      <c r="B7" s="10">
        <f>Assumptions!B7</f>
        <v>0.10307882814459403</v>
      </c>
      <c r="C7" s="10">
        <f>Assumptions!B7</f>
        <v>0.10307882814459403</v>
      </c>
      <c r="D7" s="10">
        <f>Assumptions!B7</f>
        <v>0.10307882814459403</v>
      </c>
      <c r="E7" s="10">
        <f>Assumptions!B7</f>
        <v>0.10307882814459403</v>
      </c>
      <c r="F7" s="10">
        <f>Assumptions!B7</f>
        <v>0.10307882814459403</v>
      </c>
    </row>
    <row r="8" spans="1:6" x14ac:dyDescent="0.25">
      <c r="A8" t="s">
        <v>44</v>
      </c>
      <c r="B8" s="18">
        <f>B6*B7</f>
        <v>4236636812.2637844</v>
      </c>
      <c r="C8" s="18">
        <f>C6*C7</f>
        <v>4263601742.591685</v>
      </c>
      <c r="D8" s="18">
        <f>D6*D7</f>
        <v>4290738296.662617</v>
      </c>
      <c r="E8" s="18">
        <f>E6*E7</f>
        <v>4318047566.810543</v>
      </c>
      <c r="F8" s="18">
        <f>F6*F7</f>
        <v>4345530652.321805</v>
      </c>
    </row>
    <row r="9" spans="1:6" x14ac:dyDescent="0.25">
      <c r="A9" t="s">
        <v>45</v>
      </c>
      <c r="B9" s="18">
        <f>B8*(1-Assumptions!B8)</f>
        <v>3207245636.755642</v>
      </c>
      <c r="C9" s="18">
        <f>C8*(1-Assumptions!B8)</f>
        <v>3227658799.1228375</v>
      </c>
      <c r="D9" s="18">
        <f>D8*(1-Assumptions!B8)</f>
        <v>3248201885.1831403</v>
      </c>
      <c r="E9" s="18">
        <f>E8*(1-Assumptions!B8)</f>
        <v>3268875721.862125</v>
      </c>
      <c r="F9" s="18">
        <f>F8*(1-Assumptions!B8)</f>
        <v>3289681141.3485026</v>
      </c>
    </row>
    <row r="10" spans="1:6" x14ac:dyDescent="0.25">
      <c r="A10" t="s">
        <v>46</v>
      </c>
      <c r="B10" s="18">
        <f>B6*Assumptions!B9</f>
        <v>1920224626.41254</v>
      </c>
      <c r="C10" s="18">
        <f>C6*Assumptions!B9</f>
        <v>1932446283.7222364</v>
      </c>
      <c r="D10" s="18">
        <f>D6*Assumptions!B9</f>
        <v>1944745728.2373154</v>
      </c>
      <c r="E10" s="18">
        <f>E6*Assumptions!B9</f>
        <v>1957123455.0501502</v>
      </c>
      <c r="F10" s="18">
        <f>F6*Assumptions!B9</f>
        <v>1969579962.4042294</v>
      </c>
    </row>
    <row r="11" spans="1:6" x14ac:dyDescent="0.25">
      <c r="A11" t="s">
        <v>47</v>
      </c>
      <c r="B11" s="18">
        <f>-B6*Assumptions!B10</f>
        <v>-2480138164.846894</v>
      </c>
      <c r="C11" s="18">
        <f>-C6*Assumptions!B10</f>
        <v>-2495923504.913117</v>
      </c>
      <c r="D11" s="18">
        <f>-D6*Assumptions!B10</f>
        <v>-2511809313.9630995</v>
      </c>
      <c r="E11" s="18">
        <f>-E6*Assumptions!B10</f>
        <v>-2527796231.451973</v>
      </c>
      <c r="F11" s="18">
        <f>-F6*Assumptions!B10</f>
        <v>-2543884900.9048095</v>
      </c>
    </row>
    <row r="12" spans="1:6" x14ac:dyDescent="0.25">
      <c r="A12" t="s">
        <v>48</v>
      </c>
      <c r="B12" s="18">
        <f>-(B6-Assumptions!B29)*Assumptions!B11</f>
        <v>-7635336.518106411</v>
      </c>
      <c r="C12" s="18">
        <f>-(C6-B6)*Assumptions!B11</f>
        <v>-7683933.158877027</v>
      </c>
      <c r="D12" s="18">
        <f>-(D6-C6)*Assumptions!B11</f>
        <v>-7732839.102778896</v>
      </c>
      <c r="E12" s="18">
        <f>-(E6-D6)*Assumptions!B11</f>
        <v>-7782056.318434325</v>
      </c>
      <c r="F12" s="18">
        <f>-(F6-E6)*Assumptions!B11</f>
        <v>-7831586.786995333</v>
      </c>
    </row>
    <row r="13" spans="1:6" x14ac:dyDescent="0.25">
      <c r="A13" s="19" t="s">
        <v>49</v>
      </c>
      <c r="B13" s="20">
        <f>B9+B10+B11+B12</f>
        <v>2639696761.803182</v>
      </c>
      <c r="C13" s="20">
        <f>C9+C10+C11+C12</f>
        <v>2656497644.77308</v>
      </c>
      <c r="D13" s="20">
        <f>D9+D10+D11+D12</f>
        <v>2673405460.3545775</v>
      </c>
      <c r="E13" s="20">
        <f>E9+E10+E11+E12</f>
        <v>2690420889.141868</v>
      </c>
      <c r="F13" s="20">
        <f>F9+F10+F11+F12</f>
        <v>2707544616.0609274</v>
      </c>
    </row>
    <row r="14" spans="1:6" x14ac:dyDescent="0.25">
      <c r="A14" t="s">
        <v>50</v>
      </c>
      <c r="B14" s="21">
        <f>1/(1+Assumptions!$B$26)^(1-0.5*Assumptions!$B$32)</f>
        <v>0.9578659988846541</v>
      </c>
      <c r="C14" s="21">
        <f>1/(1+Assumptions!$B$26)^(2-0.5*Assumptions!$B$32)</f>
        <v>0.878849019405124</v>
      </c>
      <c r="D14" s="21">
        <f>1/(1+Assumptions!$B$26)^(3-0.5*Assumptions!$B$32)</f>
        <v>0.8063503661354592</v>
      </c>
      <c r="E14" s="21">
        <f>1/(1+Assumptions!$B$26)^(4-0.5*Assumptions!$B$32)</f>
        <v>0.7398323245634357</v>
      </c>
      <c r="F14" s="21">
        <f>1/(1+Assumptions!$B$26)^(5-0.5*Assumptions!$B$32)</f>
        <v>0.678801537713926</v>
      </c>
    </row>
    <row r="15" spans="1:6" x14ac:dyDescent="0.25">
      <c r="A15" s="19" t="s">
        <v>51</v>
      </c>
      <c r="B15" s="20">
        <f>B13*B14</f>
        <v>2528475775.497192</v>
      </c>
      <c r="C15" s="20">
        <f>C13*C14</f>
        <v>2334660350.160843</v>
      </c>
      <c r="D15" s="20">
        <f>D13*D14</f>
        <v>2155701471.7854495</v>
      </c>
      <c r="E15" s="20">
        <f>E13*E14</f>
        <v>1990460340.467854</v>
      </c>
      <c r="F15" s="20">
        <f>F13*F14</f>
        <v>1837885448.811219</v>
      </c>
    </row>
    <row r="17" spans="1:2" x14ac:dyDescent="0.25">
      <c r="A17" s="22" t="s">
        <v>52</v>
      </c>
      <c r="B17" s="23">
        <f>SUM(B15:F15)</f>
        <v>10847183386.722557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2707544616.0609274</v>
      </c>
    </row>
    <row r="5" spans="1:2" x14ac:dyDescent="0.25">
      <c r="A5" t="s">
        <v>56</v>
      </c>
      <c r="B5" s="18">
        <f>IF(Assumptions!$B$33=0,B4,B4-Forecast!F11-Forecast!F10-Forecast!F12)</f>
        <v>3289681141.3485026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0.27805701546488376</v>
      </c>
    </row>
    <row r="7" spans="1:2" x14ac:dyDescent="0.25">
      <c r="A7" t="s">
        <v>58</v>
      </c>
      <c r="B7" s="18">
        <f>-MAX(Forecast!F9,0)*B6</f>
        <v>-914718919.994477</v>
      </c>
    </row>
    <row r="8" spans="1:2" x14ac:dyDescent="0.25">
      <c r="A8" t="s">
        <v>59</v>
      </c>
      <c r="B8" s="18">
        <f>IF(OR(Assumptions!$B$33=0,Assumptions!B12&lt;=0),B5,MAX(B5+B7,0))</f>
        <v>2374962221.354026</v>
      </c>
    </row>
    <row r="9" spans="1:2" x14ac:dyDescent="0.25">
      <c r="A9" t="s">
        <v>60</v>
      </c>
      <c r="B9" s="18">
        <f>B8*(1+Assumptions!B12)/(Assumptions!B26-Assumptions!B12)</f>
        <v>37503475719.77355</v>
      </c>
    </row>
    <row r="10" spans="1:2" x14ac:dyDescent="0.25">
      <c r="A10" t="s">
        <v>61</v>
      </c>
      <c r="B10" s="18">
        <f>B9/(1+Assumptions!B26)^(5-0.5*Assumptions!B32)</f>
        <v>25457416988.199177</v>
      </c>
    </row>
    <row r="11" spans="1:2" x14ac:dyDescent="0.25">
      <c r="A11" t="s">
        <v>62</v>
      </c>
      <c r="B11" s="18">
        <f>Forecast!B17+B10</f>
        <v>36304600374.92174</v>
      </c>
    </row>
    <row r="12" spans="1:2" x14ac:dyDescent="0.25">
      <c r="A12" t="s">
        <v>63</v>
      </c>
      <c r="B12" s="18">
        <f>-Assumptions!B30</f>
        <v>-16369000000</v>
      </c>
    </row>
    <row r="13" spans="1:2" x14ac:dyDescent="0.25">
      <c r="A13" t="s">
        <v>64</v>
      </c>
      <c r="B13" s="18">
        <f>B11+B12</f>
        <v>19935600374.921738</v>
      </c>
    </row>
    <row r="14" spans="1:2" x14ac:dyDescent="0.25">
      <c r="A14" s="19" t="s">
        <v>65</v>
      </c>
      <c r="B14" s="24">
        <f>B13/Assumptions!B31</f>
        <v>9.888364542331372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6315110614.726034</v>
      </c>
    </row>
    <row r="18" spans="1:2" x14ac:dyDescent="0.25">
      <c r="A18" t="s">
        <v>60</v>
      </c>
      <c r="B18" s="18">
        <f>B17*Assumptions!B13</f>
        <v>104881471048.4578</v>
      </c>
    </row>
    <row r="19" spans="1:2" x14ac:dyDescent="0.25">
      <c r="A19" t="s">
        <v>61</v>
      </c>
      <c r="B19" s="18">
        <f>B18/(1+Assumptions!B26)^(5-0.5*Assumptions!B32)</f>
        <v>71193703825.39177</v>
      </c>
    </row>
    <row r="20" spans="1:2" x14ac:dyDescent="0.25">
      <c r="A20" t="s">
        <v>62</v>
      </c>
      <c r="B20" s="18">
        <f>Forecast!B17+B19</f>
        <v>82040887212.11432</v>
      </c>
    </row>
    <row r="21" spans="1:2" x14ac:dyDescent="0.25">
      <c r="A21" t="s">
        <v>63</v>
      </c>
      <c r="B21" s="18">
        <f>-Assumptions!B30</f>
        <v>-16369000000</v>
      </c>
    </row>
    <row r="22" spans="1:2" x14ac:dyDescent="0.25">
      <c r="A22" t="s">
        <v>64</v>
      </c>
      <c r="B22" s="18">
        <f>B20+B21</f>
        <v>65671887212.11432</v>
      </c>
    </row>
    <row r="23" spans="1:2" x14ac:dyDescent="0.25">
      <c r="A23" s="19" t="s">
        <v>65</v>
      </c>
      <c r="B23" s="25">
        <f>B22/Assumptions!B31</f>
        <v>32.57426657454281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9.888364542331372</v>
      </c>
    </row>
    <row r="29" spans="1:2" x14ac:dyDescent="0.25">
      <c r="A29" s="19" t="s">
        <v>73</v>
      </c>
      <c r="B29" s="12">
        <f>B28/B26-1</f>
        <v>-0.7699310250737232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0.06991</v>
      </c>
      <c r="B5" s="31">
        <v>15.59724284054987</v>
      </c>
      <c r="C5" s="31">
        <v>15.975876663386545</v>
      </c>
      <c r="D5" s="31">
        <v>16.42212504490726</v>
      </c>
      <c r="E5" s="31">
        <v>16.961400623053944</v>
      </c>
      <c r="F5" s="31">
        <v>17.633674980450145</v>
      </c>
    </row>
    <row r="6" spans="1:6" x14ac:dyDescent="0.25">
      <c r="A6" s="30">
        <v>0.07991</v>
      </c>
      <c r="B6" s="31">
        <v>12.059284281353648</v>
      </c>
      <c r="C6" s="31">
        <v>12.138655681632812</v>
      </c>
      <c r="D6" s="31">
        <v>12.21938723776743</v>
      </c>
      <c r="E6" s="31">
        <v>12.30188773232276</v>
      </c>
      <c r="F6" s="31">
        <v>12.386747993094628</v>
      </c>
    </row>
    <row r="7" spans="1:6" x14ac:dyDescent="0.25">
      <c r="A7" s="30">
        <v>0.08991</v>
      </c>
      <c r="B7" s="31">
        <v>9.765094366209516</v>
      </c>
      <c r="C7" s="31">
        <v>9.826690448913004</v>
      </c>
      <c r="D7" s="32">
        <v>9.88828653161649</v>
      </c>
      <c r="E7" s="31">
        <v>9.949882614319973</v>
      </c>
      <c r="F7" s="31">
        <v>10.011478697023465</v>
      </c>
    </row>
    <row r="8" spans="1:6" x14ac:dyDescent="0.25">
      <c r="A8" s="30">
        <v>0.09991</v>
      </c>
      <c r="B8" s="31">
        <v>7.947093008393725</v>
      </c>
      <c r="C8" s="31">
        <v>8.000291929233017</v>
      </c>
      <c r="D8" s="31">
        <v>8.053490850072297</v>
      </c>
      <c r="E8" s="31">
        <v>8.106689770911588</v>
      </c>
      <c r="F8" s="31">
        <v>8.159888691750872</v>
      </c>
    </row>
    <row r="9" spans="1:6" x14ac:dyDescent="0.25">
      <c r="A9" s="30">
        <v>0.10991</v>
      </c>
      <c r="B9" s="31">
        <v>6.463590140940919</v>
      </c>
      <c r="C9" s="31">
        <v>6.510018871735492</v>
      </c>
      <c r="D9" s="31">
        <v>6.556447602530068</v>
      </c>
      <c r="E9" s="31">
        <v>6.602876333324638</v>
      </c>
      <c r="F9" s="31">
        <v>6.649305064119211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40841000000</v>
      </c>
      <c r="C5" s="18">
        <v>40521000000</v>
      </c>
      <c r="D5" s="18">
        <v>46649000000</v>
      </c>
      <c r="E5" s="18">
        <v>40071000000</v>
      </c>
      <c r="F5" s="8" t="s">
        <v>84</v>
      </c>
    </row>
    <row r="6" spans="1:6" x14ac:dyDescent="0.25">
      <c r="A6" t="s">
        <v>44</v>
      </c>
      <c r="B6" s="18">
        <v>4058000000</v>
      </c>
      <c r="C6" s="18">
        <v>1818000000</v>
      </c>
      <c r="D6" s="18">
        <v>6428000000</v>
      </c>
      <c r="E6" s="18">
        <v>5221000000</v>
      </c>
      <c r="F6" s="8" t="s">
        <v>85</v>
      </c>
    </row>
    <row r="7" spans="1:6" x14ac:dyDescent="0.25">
      <c r="A7" t="s">
        <v>86</v>
      </c>
      <c r="B7" s="18">
        <v>2145000000</v>
      </c>
      <c r="C7" s="18">
        <v>2245000000</v>
      </c>
      <c r="D7" s="18">
        <v>1824000000</v>
      </c>
      <c r="E7" s="18">
        <v>1597000000</v>
      </c>
      <c r="F7" s="8" t="s">
        <v>87</v>
      </c>
    </row>
    <row r="8" spans="1:6" x14ac:dyDescent="0.25">
      <c r="A8" t="s">
        <v>88</v>
      </c>
      <c r="B8" s="18">
        <v>1649000000</v>
      </c>
      <c r="C8" s="18">
        <v>2647000000</v>
      </c>
      <c r="D8" s="18">
        <v>3720000000</v>
      </c>
      <c r="E8" s="18">
        <v>2241000000</v>
      </c>
      <c r="F8" s="8" t="s">
        <v>89</v>
      </c>
    </row>
    <row r="9" spans="1:6" x14ac:dyDescent="0.25">
      <c r="A9" t="s">
        <v>90</v>
      </c>
      <c r="B9" s="18">
        <v>-696000000</v>
      </c>
      <c r="C9" s="18">
        <v>-180000000</v>
      </c>
      <c r="D9" s="18">
        <v>3893000000</v>
      </c>
      <c r="E9" s="18">
        <v>3186000000</v>
      </c>
      <c r="F9" s="8" t="s">
        <v>91</v>
      </c>
    </row>
    <row r="10" spans="1:6" x14ac:dyDescent="0.25">
      <c r="A10" t="s">
        <v>92</v>
      </c>
      <c r="B10" s="18">
        <v>21827000000</v>
      </c>
      <c r="C10" s="18">
        <v>23738000000</v>
      </c>
      <c r="D10" s="18">
        <v>20960000000</v>
      </c>
      <c r="E10" s="18">
        <v>11143000000</v>
      </c>
      <c r="F10" s="8" t="s">
        <v>93</v>
      </c>
    </row>
    <row r="11" spans="1:6" x14ac:dyDescent="0.25">
      <c r="A11" t="s">
        <v>94</v>
      </c>
      <c r="B11" s="18">
        <v>5458000000</v>
      </c>
      <c r="C11" s="18">
        <v>5607000000</v>
      </c>
      <c r="D11" s="18">
        <v>4283000000</v>
      </c>
      <c r="E11" s="18">
        <v>4817000000</v>
      </c>
      <c r="F11" s="8" t="s">
        <v>95</v>
      </c>
    </row>
    <row r="12" spans="1:6" x14ac:dyDescent="0.25">
      <c r="A12" t="s">
        <v>32</v>
      </c>
      <c r="B12" s="34">
        <v>2016066488</v>
      </c>
      <c r="C12" s="34">
        <v>2016066488</v>
      </c>
      <c r="D12" s="34">
        <v>2016066488</v>
      </c>
      <c r="E12" s="34">
        <v>2016066488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2026-09-19T00:07:48Z</dcterms:modified>
</cp:coreProperties>
</file>