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<sst xmlns="http://schemas.openxmlformats.org/spreadsheetml/2006/main" count="114" uniqueCount="102">
  <si>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Nickel Industries Limited (NIC.AX)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</si>
  <si>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</si>
  <si>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</si>
  <si>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</si>
  <si>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</si>
  <si>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</si>
  <si>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</si>
  <si>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</si>
  <si>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</si>
  <si>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</si>
  <si>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</si>
  <si>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</si>
  <si>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</si>
  <si>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</si>
  <si>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</si>
  <si>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</si>
  <si>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</si>
  <si>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</si>
  <si>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</si>
  <si>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</si>
  <si>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</si>
  <si>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</si>
  <si>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</si>
  <si>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</si>
  <si>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</si>
  <si>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</si>
  <si>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</si>
  <si>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</si>
  <si>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</si>
  <si>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</si>
  <si>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</si>
  <si>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</si>
  <si>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</si>
  <si>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</si>
  <si>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</si>
  <si>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</si>
  <si>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</si>
  <si>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</si>
  <si>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</si>
  <si>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</si>
  <si>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</si>
  <si>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</si>
  <si>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</si>
  <si>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</si>
  <si>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</si>
  <si>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</si>
  <si>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</si>
  <si>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</si>
  <si>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</si>
  <si>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</si>
  <si>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</si>
  <si>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</si>
  <si>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</si>
  <si>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</si>
  <si>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</si>
  <si>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</si>
  <si>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</si>
  <si>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</si>
  <si>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</si>
  <si>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</si>
  <si>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</si>
  <si>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</si>
  <si>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</si>
  <si>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</si>
  <si>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</si>
  <si>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</si>
  <si>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</si>
  <si>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</si>
  <si>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</si>
  <si>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</si>
  <si>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</si>
  <si>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</si>
  <si>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</si>
  <si>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</si>
  <si>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</si>
  <si>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</si>
  <si>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</si>
  <si>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</si>
  <si>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</si>
  <si>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</si>
  <si>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</si>
  <si>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</si>
  <si>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</si>
  <si>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</si>
  <si>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</si>
  <si>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</si>
  <si>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</si>
  <si>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</si>
  <si>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</si>
  <si>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</si>
  <si>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</si>
  <si>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</si>
  <si>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</si>
  <si>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</si>
  <si>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</si>
  <si>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</si>
  <si>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</si>
  <si>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</si>
  <si>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</si>
  <si>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Reports in USD, trades in AUD. Modelled in USD, converted at the end.</t>
  </si>
  <si>
    <t>Adjusted: Reported capital expenditure averages 2.56% of revenue against depreciation and amortisation of 6.43%. A business cannot depreciate more than it invests indefinitely. Capex has been set to 6.43%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</si>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</sst>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0.10657398067872759</v>
      </c>
    </row>
    <row r="7" spans="1:2" x14ac:dyDescent="0.25">
      <c r="A7" t="s">
        <v>5</v>
      </c>
      <c r="B7" s="6">
        <v>0.1300004029111316</v>
      </c>
    </row>
    <row r="8" spans="1:2" x14ac:dyDescent="0.25">
      <c r="A8" t="s">
        <v>6</v>
      </c>
      <c r="B8" s="6">
        <v>0.08431146989451274</v>
      </c>
    </row>
    <row r="9" spans="1:2" x14ac:dyDescent="0.25">
      <c r="A9" t="s">
        <v>7</v>
      </c>
      <c r="B9" s="6">
        <v>0.06434063467656867</v>
      </c>
    </row>
    <row r="10" spans="1:2" x14ac:dyDescent="0.25">
      <c r="A10" t="s">
        <v>8</v>
      </c>
      <c r="B10" s="6">
        <v>0.06434063467656867</v>
      </c>
    </row>
    <row r="11" spans="1:2" x14ac:dyDescent="0.25">
      <c r="A11" t="s">
        <v>9</v>
      </c>
      <c r="B11" s="6">
        <v>0.15992321115490307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18.436482104432717</v>
      </c>
    </row>
    <row r="14" spans="1:3" x14ac:dyDescent="0.25">
      <c r="A14" t="s">
        <v>12</v>
      </c>
      <c r="B14" s="6">
        <v>0.11457787092605425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1.02881</v>
      </c>
      <c r="C19" s="8" t="s">
        <v>19</v>
      </c>
    </row>
    <row r="20" spans="1:2" x14ac:dyDescent="0.25">
      <c r="A20" t="s">
        <v>20</v>
      </c>
      <c r="B20" s="10">
        <f>B17+B19*B18</f>
        <v>0.1152086</v>
      </c>
    </row>
    <row r="21" spans="1:3" x14ac:dyDescent="0.25">
      <c r="A21" t="s">
        <v>21</v>
      </c>
      <c r="B21" s="6">
        <v>0.12323717683080268</v>
      </c>
      <c r="C21" s="8" t="s">
        <v>22</v>
      </c>
    </row>
    <row r="22" spans="1:2" x14ac:dyDescent="0.25">
      <c r="A22" t="s">
        <v>23</v>
      </c>
      <c r="B22" s="11">
        <v>3365000448</v>
      </c>
    </row>
    <row r="23" spans="1:2" x14ac:dyDescent="0.25">
      <c r="A23" t="s">
        <v>24</v>
      </c>
      <c r="B23" s="11">
        <v>1226113016</v>
      </c>
    </row>
    <row r="24" spans="1:2" x14ac:dyDescent="0.25">
      <c r="A24" t="s">
        <v>25</v>
      </c>
      <c r="B24" s="10">
        <f>B22/(B22+B23)</f>
        <v>0.7329377664886219</v>
      </c>
    </row>
    <row r="25" spans="1:2" x14ac:dyDescent="0.25">
      <c r="A25" t="s">
        <v>26</v>
      </c>
      <c r="B25" s="10">
        <f>1-B24</f>
        <v>0.26706223351137814</v>
      </c>
    </row>
    <row r="26" spans="1:2" x14ac:dyDescent="0.25">
      <c r="A26" t="s">
        <v>27</v>
      </c>
      <c r="B26" s="12">
        <f>B24*B20+B25*B21*(1-B8)</f>
        <v>0.11457787092605425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1649099517</v>
      </c>
      <c r="C29" s="8" t="s">
        <v>30</v>
      </c>
    </row>
    <row r="30" spans="1:2" x14ac:dyDescent="0.25">
      <c r="A30" t="s">
        <v>31</v>
      </c>
      <c r="B30" s="11">
        <v>902785721</v>
      </c>
    </row>
    <row r="31" spans="1:2" x14ac:dyDescent="0.25">
      <c r="A31" t="s">
        <v>32</v>
      </c>
      <c r="B31" s="13">
        <v>4329728129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0.10657398067872759</v>
      </c>
      <c r="C5" s="10">
        <f>Assumptions!B6</f>
        <v>0.10657398067872759</v>
      </c>
      <c r="D5" s="10">
        <f>Assumptions!B6</f>
        <v>0.10657398067872759</v>
      </c>
      <c r="E5" s="10">
        <f>Assumptions!B6</f>
        <v>0.10657398067872759</v>
      </c>
      <c r="F5" s="10">
        <f>Assumptions!B6</f>
        <v>0.10657398067872759</v>
      </c>
    </row>
    <row r="6" spans="1:6" x14ac:dyDescent="0.25">
      <c r="A6" t="s">
        <v>43</v>
      </c>
      <c r="B6" s="18">
        <f>Assumptions!B29*(1+B5)</f>
        <v>1824850617.062057</v>
      </c>
      <c r="C6" s="18">
        <f>B6*(1+C5)</f>
        <v>2019332211.4663928</v>
      </c>
      <c r="D6" s="18">
        <f>C6*(1+D5)</f>
        <v>2234540483.5551443</v>
      </c>
      <c r="E6" s="18">
        <f>D6*(1+E5)</f>
        <v>2472684357.875385</v>
      </c>
      <c r="F6" s="18">
        <f>E6*(1+F5)</f>
        <v>2736208172.856188</v>
      </c>
    </row>
    <row r="7" spans="1:6" x14ac:dyDescent="0.25">
      <c r="A7" t="s">
        <v>5</v>
      </c>
      <c r="B7" s="10">
        <f>Assumptions!B7</f>
        <v>0.1300004029111316</v>
      </c>
      <c r="C7" s="10">
        <f>Assumptions!B7</f>
        <v>0.1300004029111316</v>
      </c>
      <c r="D7" s="10">
        <f>Assumptions!B7</f>
        <v>0.1300004029111316</v>
      </c>
      <c r="E7" s="10">
        <f>Assumptions!B7</f>
        <v>0.1300004029111316</v>
      </c>
      <c r="F7" s="10">
        <f>Assumptions!B7</f>
        <v>0.1300004029111316</v>
      </c>
    </row>
    <row r="8" spans="1:6" x14ac:dyDescent="0.25">
      <c r="A8" t="s">
        <v>44</v>
      </c>
      <c r="B8" s="18">
        <f>B6*B7</f>
        <v>237231315.47069454</v>
      </c>
      <c r="C8" s="18">
        <f>C6*C7</f>
        <v>262514001.10205746</v>
      </c>
      <c r="D8" s="18">
        <f>D6*D7</f>
        <v>290491163.1834036</v>
      </c>
      <c r="E8" s="18">
        <f>E6*E7</f>
        <v>321449962.7958527</v>
      </c>
      <c r="F8" s="18">
        <f>F6*F7</f>
        <v>355708164.92003566</v>
      </c>
    </row>
    <row r="9" spans="1:6" x14ac:dyDescent="0.25">
      <c r="A9" t="s">
        <v>45</v>
      </c>
      <c r="B9" s="18">
        <f>B8*(1-Assumptions!B8)</f>
        <v>217229994.55835143</v>
      </c>
      <c r="C9" s="18">
        <f>C8*(1-Assumptions!B8)</f>
        <v>240381059.80125326</v>
      </c>
      <c r="D9" s="18">
        <f>D8*(1-Assumptions!B8)</f>
        <v>265999426.22404408</v>
      </c>
      <c r="E9" s="18">
        <f>E8*(1-Assumptions!B8)</f>
        <v>294348043.9349979</v>
      </c>
      <c r="F9" s="18">
        <f>F8*(1-Assumptions!B8)</f>
        <v>325717886.6821477</v>
      </c>
    </row>
    <row r="10" spans="1:6" x14ac:dyDescent="0.25">
      <c r="A10" t="s">
        <v>46</v>
      </c>
      <c r="B10" s="18">
        <f>B6*Assumptions!B9</f>
        <v>117412046.89170071</v>
      </c>
      <c r="C10" s="18">
        <f>C6*Assumptions!B9</f>
        <v>129925116.10858668</v>
      </c>
      <c r="D10" s="18">
        <f>D6*Assumptions!B9</f>
        <v>143771752.92242464</v>
      </c>
      <c r="E10" s="18">
        <f>E6*Assumptions!B9</f>
        <v>159094080.94052592</v>
      </c>
      <c r="F10" s="18">
        <f>F6*Assumptions!B9</f>
        <v>176049370.44878143</v>
      </c>
    </row>
    <row r="11" spans="1:6" x14ac:dyDescent="0.25">
      <c r="A11" t="s">
        <v>47</v>
      </c>
      <c r="B11" s="18">
        <f>-B6*Assumptions!B10</f>
        <v>-117412046.89170071</v>
      </c>
      <c r="C11" s="18">
        <f>-C6*Assumptions!B10</f>
        <v>-129925116.10858668</v>
      </c>
      <c r="D11" s="18">
        <f>-D6*Assumptions!B10</f>
        <v>-143771752.92242464</v>
      </c>
      <c r="E11" s="18">
        <f>-E6*Assumptions!B10</f>
        <v>-159094080.94052592</v>
      </c>
      <c r="F11" s="18">
        <f>-F6*Assumptions!B10</f>
        <v>-176049370.44878143</v>
      </c>
    </row>
    <row r="12" spans="1:6" x14ac:dyDescent="0.25">
      <c r="A12" t="s">
        <v>48</v>
      </c>
      <c r="B12" s="18">
        <f>-(B6-Assumptions!B29)*Assumptions!B11</f>
        <v>-28106680.285930842</v>
      </c>
      <c r="C12" s="18">
        <f>-(C6-B6)*Assumptions!B11</f>
        <v>-31102121.0876668</v>
      </c>
      <c r="D12" s="18">
        <f>-(D6-C6)*Assumptions!B11</f>
        <v>-34416797.93953125</v>
      </c>
      <c r="E12" s="18">
        <f>-(E6-D6)*Assumptions!B11</f>
        <v>-38084733.09816252</v>
      </c>
      <c r="F12" s="18">
        <f>-(F6-E6)*Assumptions!B11</f>
        <v>-42143574.70752057</v>
      </c>
    </row>
    <row r="13" spans="1:6" x14ac:dyDescent="0.25">
      <c r="A13" s="19" t="s">
        <v>49</v>
      </c>
      <c r="B13" s="20">
        <f>B9+B10+B11+B12</f>
        <v>189123314.2724206</v>
      </c>
      <c r="C13" s="20">
        <f>C9+C10+C11+C12</f>
        <v>209278938.71358645</v>
      </c>
      <c r="D13" s="20">
        <f>D9+D10+D11+D12</f>
        <v>231582628.28451288</v>
      </c>
      <c r="E13" s="20">
        <f>E9+E10+E11+E12</f>
        <v>256263310.83683538</v>
      </c>
      <c r="F13" s="20">
        <f>F9+F10+F11+F12</f>
        <v>283574311.97462714</v>
      </c>
    </row>
    <row r="14" spans="1:6" x14ac:dyDescent="0.25">
      <c r="A14" t="s">
        <v>50</v>
      </c>
      <c r="B14" s="21">
        <f>1/(1+Assumptions!$B$26)^(1-0.5*Assumptions!$B$32)</f>
        <v>0.9472067666192735</v>
      </c>
      <c r="C14" s="21">
        <f>1/(1+Assumptions!$B$26)^(2-0.5*Assumptions!$B$32)</f>
        <v>0.8498345349636994</v>
      </c>
      <c r="D14" s="21">
        <f>1/(1+Assumptions!$B$26)^(3-0.5*Assumptions!$B$32)</f>
        <v>0.7624721045803724</v>
      </c>
      <c r="E14" s="21">
        <f>1/(1+Assumptions!$B$26)^(4-0.5*Assumptions!$B$32)</f>
        <v>0.6840904744922556</v>
      </c>
      <c r="F14" s="21">
        <f>1/(1+Assumptions!$B$26)^(5-0.5*Assumptions!$B$32)</f>
        <v>0.6137664243449177</v>
      </c>
    </row>
    <row r="15" spans="1:6" x14ac:dyDescent="0.25">
      <c r="A15" s="19" t="s">
        <v>51</v>
      </c>
      <c r="B15" s="20">
        <f>B13*B14</f>
        <v>179138883.0043002</v>
      </c>
      <c r="C15" s="20">
        <f>C13*C14</f>
        <v>177852469.5593573</v>
      </c>
      <c r="D15" s="20">
        <f>D13*D14</f>
        <v>176575293.9723466</v>
      </c>
      <c r="E15" s="20">
        <f>E13*E14</f>
        <v>175307289.9053271</v>
      </c>
      <c r="F15" s="20">
        <f>F13*F14</f>
        <v>174048391.49673706</v>
      </c>
    </row>
    <row r="17" spans="1:2" x14ac:dyDescent="0.25">
      <c r="A17" s="22" t="s">
        <v>52</v>
      </c>
      <c r="B17" s="23">
        <f>SUM(B15:F15)</f>
        <v>882922327.9380684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283574311.97462714</v>
      </c>
    </row>
    <row r="5" spans="1:2" x14ac:dyDescent="0.25">
      <c r="A5" t="s">
        <v>56</v>
      </c>
      <c r="B5" s="18">
        <f>IF(Assumptions!$B$33=0,B4,B4-Forecast!F11-Forecast!F10-Forecast!F12)</f>
        <v>325717886.6821477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0.21819221982344558</v>
      </c>
    </row>
    <row r="7" spans="1:2" x14ac:dyDescent="0.25">
      <c r="A7" t="s">
        <v>58</v>
      </c>
      <c r="B7" s="18">
        <f>-MAX(Forecast!F9,0)*B6</f>
        <v>-71069108.7313793</v>
      </c>
    </row>
    <row r="8" spans="1:2" x14ac:dyDescent="0.25">
      <c r="A8" t="s">
        <v>59</v>
      </c>
      <c r="B8" s="18">
        <f>IF(OR(Assumptions!$B$33=0,Assumptions!B12&lt;=0),B5,MAX(B5+B7,0))</f>
        <v>254648777.95076838</v>
      </c>
    </row>
    <row r="9" spans="1:2" x14ac:dyDescent="0.25">
      <c r="A9" t="s">
        <v>60</v>
      </c>
      <c r="B9" s="18">
        <f>B8*(1+Assumptions!B12)/(Assumptions!B26-Assumptions!B12)</f>
        <v>2913833457.9865513</v>
      </c>
    </row>
    <row r="10" spans="1:2" x14ac:dyDescent="0.25">
      <c r="A10" t="s">
        <v>61</v>
      </c>
      <c r="B10" s="18">
        <f>B9/(1+Assumptions!B26)^(5-0.5*Assumptions!B32)</f>
        <v>1788413142.6449926</v>
      </c>
    </row>
    <row r="11" spans="1:2" x14ac:dyDescent="0.25">
      <c r="A11" t="s">
        <v>62</v>
      </c>
      <c r="B11" s="18">
        <f>Forecast!B17+B10</f>
        <v>2671335470.583061</v>
      </c>
    </row>
    <row r="12" spans="1:2" x14ac:dyDescent="0.25">
      <c r="A12" t="s">
        <v>63</v>
      </c>
      <c r="B12" s="18">
        <f>-Assumptions!B30</f>
        <v>-902785721</v>
      </c>
    </row>
    <row r="13" spans="1:2" x14ac:dyDescent="0.25">
      <c r="A13" t="s">
        <v>64</v>
      </c>
      <c r="B13" s="18">
        <f>B11+B12</f>
        <v>1768549749.5830612</v>
      </c>
    </row>
    <row r="14" spans="1:2" x14ac:dyDescent="0.25">
      <c r="A14" s="19" t="s">
        <v>65</v>
      </c>
      <c r="B14" s="24">
        <f>B13/Assumptions!B31</f>
        <v>0.40846669742091357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531757535.3688171</v>
      </c>
    </row>
    <row r="18" spans="1:2" x14ac:dyDescent="0.25">
      <c r="A18" t="s">
        <v>60</v>
      </c>
      <c r="B18" s="18">
        <f>B17*Assumptions!B13</f>
        <v>9803738284.724443</v>
      </c>
    </row>
    <row r="19" spans="1:2" x14ac:dyDescent="0.25">
      <c r="A19" t="s">
        <v>61</v>
      </c>
      <c r="B19" s="18">
        <f>B18/(1+Assumptions!B26)^(5-0.5*Assumptions!B32)</f>
        <v>6017205392.228698</v>
      </c>
    </row>
    <row r="20" spans="1:2" x14ac:dyDescent="0.25">
      <c r="A20" t="s">
        <v>62</v>
      </c>
      <c r="B20" s="18">
        <f>Forecast!B17+B19</f>
        <v>6900127720.166766</v>
      </c>
    </row>
    <row r="21" spans="1:2" x14ac:dyDescent="0.25">
      <c r="A21" t="s">
        <v>63</v>
      </c>
      <c r="B21" s="18">
        <f>-Assumptions!B30</f>
        <v>-902785721</v>
      </c>
    </row>
    <row r="22" spans="1:2" x14ac:dyDescent="0.25">
      <c r="A22" t="s">
        <v>64</v>
      </c>
      <c r="B22" s="18">
        <f>B20+B21</f>
        <v>5997341999.166766</v>
      </c>
    </row>
    <row r="23" spans="1:2" x14ac:dyDescent="0.25">
      <c r="A23" s="19" t="s">
        <v>65</v>
      </c>
      <c r="B23" s="25">
        <f>B22/Assumptions!B31</f>
        <v>1.3851544070393909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0.775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0.5735689365184468</v>
      </c>
    </row>
    <row r="29" spans="1:2" x14ac:dyDescent="0.25">
      <c r="A29" s="19" t="s">
        <v>73</v>
      </c>
      <c r="B29" s="12">
        <f>B28/B26-1</f>
        <v>-0.2599110496536171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0.094578</v>
      </c>
      <c r="B5" s="31">
        <v>0.5424540459231479</v>
      </c>
      <c r="C5" s="31">
        <v>0.5451022450755177</v>
      </c>
      <c r="D5" s="31">
        <v>0.5477504442278873</v>
      </c>
      <c r="E5" s="31">
        <v>0.5503986433802572</v>
      </c>
      <c r="F5" s="31">
        <v>0.553046842532627</v>
      </c>
    </row>
    <row r="6" spans="1:6" x14ac:dyDescent="0.25">
      <c r="A6" s="30">
        <v>0.104578</v>
      </c>
      <c r="B6" s="31">
        <v>0.4667328853182156</v>
      </c>
      <c r="C6" s="31">
        <v>0.4690318214327836</v>
      </c>
      <c r="D6" s="31">
        <v>0.47133075754735154</v>
      </c>
      <c r="E6" s="31">
        <v>0.4736296936619194</v>
      </c>
      <c r="F6" s="31">
        <v>0.4759286297764873</v>
      </c>
    </row>
    <row r="7" spans="1:6" x14ac:dyDescent="0.25">
      <c r="A7" s="30">
        <v>0.114578</v>
      </c>
      <c r="B7" s="31">
        <v>0.4044361660264104</v>
      </c>
      <c r="C7" s="31">
        <v>0.4064510620927733</v>
      </c>
      <c r="D7" s="32">
        <v>0.4084659581591362</v>
      </c>
      <c r="E7" s="31">
        <v>0.41048085422549885</v>
      </c>
      <c r="F7" s="31">
        <v>0.41249575029186175</v>
      </c>
    </row>
    <row r="8" spans="1:6" x14ac:dyDescent="0.25">
      <c r="A8" s="30">
        <v>0.124578</v>
      </c>
      <c r="B8" s="31">
        <v>0.35232113618936794</v>
      </c>
      <c r="C8" s="31">
        <v>0.3541012858131028</v>
      </c>
      <c r="D8" s="31">
        <v>0.35588143543683753</v>
      </c>
      <c r="E8" s="31">
        <v>0.3576615850605724</v>
      </c>
      <c r="F8" s="31">
        <v>0.3594417346843071</v>
      </c>
    </row>
    <row r="9" spans="1:6" x14ac:dyDescent="0.25">
      <c r="A9" s="30">
        <v>0.134578</v>
      </c>
      <c r="B9" s="31">
        <v>0.30810943408929364</v>
      </c>
      <c r="C9" s="31">
        <v>0.30969294953587106</v>
      </c>
      <c r="D9" s="31">
        <v>0.31127646498244826</v>
      </c>
      <c r="E9" s="31">
        <v>0.3128599804290257</v>
      </c>
      <c r="F9" s="31">
        <v>0.314443495875603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1649099517</v>
      </c>
      <c r="C5" s="18">
        <v>1744452733</v>
      </c>
      <c r="D5" s="18">
        <v>1880104794</v>
      </c>
      <c r="E5" s="18">
        <v>1217041820</v>
      </c>
      <c r="F5" s="8" t="s">
        <v>84</v>
      </c>
    </row>
    <row r="6" spans="1:6" x14ac:dyDescent="0.25">
      <c r="A6" t="s">
        <v>44</v>
      </c>
      <c r="B6" s="18">
        <v>116230625</v>
      </c>
      <c r="C6" s="18">
        <v>150883527</v>
      </c>
      <c r="D6" s="18">
        <v>283228604</v>
      </c>
      <c r="E6" s="18">
        <v>258477651</v>
      </c>
      <c r="F6" s="8" t="s">
        <v>85</v>
      </c>
    </row>
    <row r="7" spans="1:6" x14ac:dyDescent="0.25">
      <c r="A7" t="s">
        <v>86</v>
      </c>
      <c r="B7" s="18">
        <v>115255303</v>
      </c>
      <c r="C7" s="18">
        <v>127978181</v>
      </c>
      <c r="D7" s="18">
        <v>111656383</v>
      </c>
      <c r="E7" s="18">
        <v>66598202</v>
      </c>
      <c r="F7" s="8" t="s">
        <v>87</v>
      </c>
    </row>
    <row r="8" spans="1:6" x14ac:dyDescent="0.25">
      <c r="A8" t="s">
        <v>88</v>
      </c>
      <c r="B8" s="18">
        <v>35943896</v>
      </c>
      <c r="C8" s="18">
        <v>72603601</v>
      </c>
      <c r="D8" s="18">
        <v>58994541</v>
      </c>
      <c r="E8" s="18">
        <v>9393090</v>
      </c>
      <c r="F8" s="8" t="s">
        <v>89</v>
      </c>
    </row>
    <row r="9" spans="1:6" x14ac:dyDescent="0.25">
      <c r="A9" t="s">
        <v>90</v>
      </c>
      <c r="B9" s="18">
        <v>2239999</v>
      </c>
      <c r="C9" s="18">
        <v>-127265072</v>
      </c>
      <c r="D9" s="18">
        <v>106039160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1226113016</v>
      </c>
      <c r="C10" s="18">
        <v>1054562420</v>
      </c>
      <c r="D10" s="18">
        <v>845023428</v>
      </c>
      <c r="E10" s="18">
        <v>559288118</v>
      </c>
      <c r="F10" s="8" t="s">
        <v>93</v>
      </c>
    </row>
    <row r="11" spans="1:6" x14ac:dyDescent="0.25">
      <c r="A11" t="s">
        <v>94</v>
      </c>
      <c r="B11" s="18">
        <v>323327295</v>
      </c>
      <c r="C11" s="18">
        <v>210953629</v>
      </c>
      <c r="D11" s="18">
        <v>774967164</v>
      </c>
      <c r="E11" s="18">
        <v>144242357</v>
      </c>
      <c r="F11" s="8" t="s">
        <v>95</v>
      </c>
    </row>
    <row r="12" spans="1:6" x14ac:dyDescent="0.25">
      <c r="A12" t="s">
        <v>32</v>
      </c>
      <c r="B12" s="34">
        <v>4329728129</v>
      </c>
      <c r="C12" s="34">
        <v>4286935563</v>
      </c>
      <c r="D12" s="34">
        <v>3407121639</v>
      </c>
      <c r="E12" s="34">
        <v>2681507652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70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2026-09-19T00:07:00Z</dcterms:modified>
</cp:coreProperties>
</file>