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<sst xmlns="http://schemas.openxmlformats.org/spreadsheetml/2006/main" count="119" uniqueCount="106">
  <si>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NIKE, Inc. (NKE)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</si>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</sst>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-0.07768746066640808</v>
      </c>
    </row>
    <row r="7" spans="1:2" x14ac:dyDescent="0.25">
      <c r="A7" t="s">
        <v>4</v>
      </c>
      <c r="B7" s="5">
        <v>0.10003465673409086</v>
      </c>
    </row>
    <row r="8" spans="1:2" x14ac:dyDescent="0.25">
      <c r="A8" t="s">
        <v>5</v>
      </c>
      <c r="B8" s="5">
        <v>0.17690925426774484</v>
      </c>
    </row>
    <row r="9" spans="1:2" x14ac:dyDescent="0.25">
      <c r="A9" t="s">
        <v>6</v>
      </c>
      <c r="B9" s="5">
        <v>0.01695740843112379</v>
      </c>
    </row>
    <row r="10" spans="1:3" x14ac:dyDescent="0.25">
      <c r="A10" t="s">
        <v>7</v>
      </c>
      <c r="B10" s="5">
        <v>0.014689079854317163</v>
      </c>
      <c r="C10" s="6" t="s">
        <v>8</v>
      </c>
    </row>
    <row r="11" spans="1:2" x14ac:dyDescent="0.25">
      <c r="A11" t="s">
        <v>9</v>
      </c>
      <c r="B11" s="5">
        <v>0.18914540003882852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12.939244468437092</v>
      </c>
    </row>
    <row r="14" spans="1:3" x14ac:dyDescent="0.25">
      <c r="A14" t="s">
        <v>12</v>
      </c>
      <c r="B14" s="5">
        <v>0.17808282113203588</v>
      </c>
      <c r="C14" s="6" t="s">
        <v>13</v>
      </c>
    </row>
    <row r="15" spans="1:3" x14ac:dyDescent="0.25">
      <c r="A15" t="s">
        <v>14</v>
      </c>
      <c r="B15" s="5">
        <v>0.015514747470278641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1.06633</v>
      </c>
      <c r="C19" s="6" t="s">
        <v>21</v>
      </c>
    </row>
    <row r="20" spans="1:2" x14ac:dyDescent="0.25">
      <c r="A20" t="s">
        <v>22</v>
      </c>
      <c r="B20" s="9">
        <f>B17+B19*B18</f>
        <v>0.094045759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57436889088</v>
      </c>
    </row>
    <row r="23" spans="1:2" x14ac:dyDescent="0.25">
      <c r="A23" t="s">
        <v>26</v>
      </c>
      <c r="B23" s="10">
        <v>11033000000</v>
      </c>
    </row>
    <row r="24" spans="1:2" x14ac:dyDescent="0.25">
      <c r="A24" t="s">
        <v>27</v>
      </c>
      <c r="B24" s="9">
        <f>B22/(B22+B23)</f>
        <v>0.8388634749236998</v>
      </c>
    </row>
    <row r="25" spans="1:2" x14ac:dyDescent="0.25">
      <c r="A25" t="s">
        <v>28</v>
      </c>
      <c r="B25" s="9">
        <f>1-B24</f>
        <v>0.16113652507630016</v>
      </c>
    </row>
    <row r="26" spans="1:2" x14ac:dyDescent="0.25">
      <c r="A26" t="s">
        <v>29</v>
      </c>
      <c r="B26" s="11">
        <f>B24*B20+B25*B21*(1-B8)</f>
        <v>0.08803506319631461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46398000000</v>
      </c>
      <c r="C29" s="6" t="s">
        <v>32</v>
      </c>
    </row>
    <row r="30" spans="1:2" x14ac:dyDescent="0.25">
      <c r="A30" t="s">
        <v>33</v>
      </c>
      <c r="B30" s="10">
        <v>2006000000</v>
      </c>
    </row>
    <row r="31" spans="1:2" x14ac:dyDescent="0.25">
      <c r="A31" t="s">
        <v>34</v>
      </c>
      <c r="B31" s="12">
        <v>1481000000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-0.07768746066640808</v>
      </c>
      <c r="C5" s="5">
        <v>0.009755616099182518</v>
      </c>
      <c r="D5" s="5">
        <v>0.011661164086784703</v>
      </c>
      <c r="E5" s="5">
        <v>0.013566712074386889</v>
      </c>
      <c r="F5" s="5">
        <v>0.015472260061989075</v>
      </c>
      <c r="G5" s="5">
        <v>0.01737780804959126</v>
      </c>
      <c r="H5" s="5">
        <v>0.019283356037193444</v>
      </c>
      <c r="I5" s="5">
        <v>0.021188904024795632</v>
      </c>
      <c r="J5" s="5">
        <v>0.023094452012397817</v>
      </c>
      <c r="K5" s="5">
        <v>0.025</v>
      </c>
    </row>
    <row r="6" spans="1:11" x14ac:dyDescent="0.25">
      <c r="A6" t="s">
        <v>50</v>
      </c>
      <c r="B6" s="18">
        <f>Assumptions!B29*(1+B5)</f>
        <v>42793457200</v>
      </c>
      <c r="C6" s="18">
        <f>B6*(1+C5)</f>
        <v>43210933740</v>
      </c>
      <c r="D6" s="18">
        <f>C6*(1+D5)</f>
        <v>43714823528.685326</v>
      </c>
      <c r="E6" s="18">
        <f>D6*(1+E5)</f>
        <v>44307889952.88164</v>
      </c>
      <c r="F6" s="18">
        <f>E6*(1+F5)</f>
        <v>44993433149.03061</v>
      </c>
      <c r="G6" s="18">
        <f>F6*(1+G5)</f>
        <v>45775320393.786575</v>
      </c>
      <c r="H6" s="18">
        <f>G6*(1+H5)</f>
        <v>46658022194.65656</v>
      </c>
      <c r="I6" s="18">
        <f>H6*(1+I5)</f>
        <v>47646654548.92593</v>
      </c>
      <c r="J6" s="18">
        <f>I6*(1+J5)</f>
        <v>48747027925.9574</v>
      </c>
      <c r="K6" s="18">
        <f>J6*(1+K5)</f>
        <v>49965703624.10633</v>
      </c>
    </row>
    <row r="7" spans="1:11" x14ac:dyDescent="0.25">
      <c r="A7" t="s">
        <v>4</v>
      </c>
      <c r="B7" s="9">
        <f>Assumptions!B7</f>
        <v>0.10003465673409086</v>
      </c>
      <c r="C7" s="9">
        <f>Assumptions!B7</f>
        <v>0.10003465673409086</v>
      </c>
      <c r="D7" s="9">
        <f>Assumptions!B7</f>
        <v>0.10003465673409086</v>
      </c>
      <c r="E7" s="9">
        <f>Assumptions!B7</f>
        <v>0.10003465673409086</v>
      </c>
      <c r="F7" s="9">
        <f>Assumptions!B7</f>
        <v>0.10003465673409086</v>
      </c>
      <c r="G7" s="9">
        <f>Assumptions!B7</f>
        <v>0.10003465673409086</v>
      </c>
      <c r="H7" s="9">
        <f>Assumptions!B7</f>
        <v>0.10003465673409086</v>
      </c>
      <c r="I7" s="9">
        <f>Assumptions!B7</f>
        <v>0.10003465673409086</v>
      </c>
      <c r="J7" s="9">
        <f>Assumptions!B7</f>
        <v>0.10003465673409086</v>
      </c>
      <c r="K7" s="9">
        <f>Assumptions!B7</f>
        <v>0.10003465673409086</v>
      </c>
    </row>
    <row r="8" spans="1:11" x14ac:dyDescent="0.25">
      <c r="A8" t="s">
        <v>51</v>
      </c>
      <c r="B8" s="18">
        <f>B6*B7</f>
        <v>4280828801.467009</v>
      </c>
      <c r="C8" s="18">
        <f>C6*C7</f>
        <v>4322590923.840445</v>
      </c>
      <c r="D8" s="18">
        <f>D6*D7</f>
        <v>4372997365.883395</v>
      </c>
      <c r="E8" s="18">
        <f>E6*E7</f>
        <v>4432324562.048388</v>
      </c>
      <c r="F8" s="18">
        <f>F6*F7</f>
        <v>4500902640.3515415</v>
      </c>
      <c r="G8" s="18">
        <f>G6*G7</f>
        <v>4579118462.485469</v>
      </c>
      <c r="H8" s="18">
        <f>H6*H7</f>
        <v>4667419234.134062</v>
      </c>
      <c r="I8" s="18">
        <f>I6*I7</f>
        <v>4766316732.329614</v>
      </c>
      <c r="J8" s="18">
        <f>J6*J7</f>
        <v>4876392205.380289</v>
      </c>
      <c r="K8" s="18">
        <f>K6*K7</f>
        <v>4998302010.514796</v>
      </c>
    </row>
    <row r="9" spans="1:11" x14ac:dyDescent="0.25">
      <c r="A9" t="s">
        <v>52</v>
      </c>
      <c r="B9" s="18">
        <f>B8*(1-Assumptions!B8)</f>
        <v>3523510570.5515966</v>
      </c>
      <c r="C9" s="18">
        <f>C8*(1-Assumptions!B8)</f>
        <v>3557884586.999309</v>
      </c>
      <c r="D9" s="18">
        <f>D8*(1-Assumptions!B8)</f>
        <v>3599373662.9701514</v>
      </c>
      <c r="E9" s="18">
        <f>E8*(1-Assumptions!B8)</f>
        <v>3648205329.1037984</v>
      </c>
      <c r="F9" s="18">
        <f>F8*(1-Assumptions!B8)</f>
        <v>3704651310.7152267</v>
      </c>
      <c r="G9" s="18">
        <f>G8*(1-Assumptions!B8)</f>
        <v>3769030030.0835023</v>
      </c>
      <c r="H9" s="18">
        <f>H8*(1-Assumptions!B8)</f>
        <v>3841709578.068476</v>
      </c>
      <c r="I9" s="18">
        <f>I8*(1-Assumptions!B8)</f>
        <v>3923111193.6093073</v>
      </c>
      <c r="J9" s="18">
        <f>J8*(1-Assumptions!B8)</f>
        <v>4013713296.8094187</v>
      </c>
      <c r="K9" s="18">
        <f>K8*(1-Assumptions!B8)</f>
        <v>4114056129.229654</v>
      </c>
    </row>
    <row r="10" spans="1:11" x14ac:dyDescent="0.25">
      <c r="A10" t="s">
        <v>53</v>
      </c>
      <c r="B10" s="18">
        <f>B6*Assumptions!B9</f>
        <v>725666131.920215</v>
      </c>
      <c r="C10" s="18">
        <f>C6*Assumptions!B9</f>
        <v>732745452.1194074</v>
      </c>
      <c r="D10" s="18">
        <f>D6*Assumptions!B9</f>
        <v>741290117.0704172</v>
      </c>
      <c r="E10" s="18">
        <f>E6*Assumptions!B9</f>
        <v>751346986.6523001</v>
      </c>
      <c r="F10" s="18">
        <f>F6*Assumptions!B9</f>
        <v>762972022.6265763</v>
      </c>
      <c r="G10" s="18">
        <f>G6*Assumptions!B9</f>
        <v>776230803.9829892</v>
      </c>
      <c r="H10" s="18">
        <f>H6*Assumptions!B9</f>
        <v>791199138.9432302</v>
      </c>
      <c r="I10" s="18">
        <f>I6*Assumptions!B9</f>
        <v>807963781.5627992</v>
      </c>
      <c r="J10" s="18">
        <f>J6*Assumptions!B9</f>
        <v>826623262.3438568</v>
      </c>
      <c r="K10" s="18">
        <f>K6*Assumptions!B9</f>
        <v>847288843.9024532</v>
      </c>
    </row>
    <row r="11" spans="1:11" x14ac:dyDescent="0.25">
      <c r="A11" t="s">
        <v>54</v>
      </c>
      <c r="B11" s="18">
        <f>-B6*B19</f>
        <v>-628596510.0531037</v>
      </c>
      <c r="C11" s="18">
        <f>-C6*C19</f>
        <v>-694990137.6494889</v>
      </c>
      <c r="D11" s="18">
        <f>-D6*D19</f>
        <v>-764058529.736392</v>
      </c>
      <c r="E11" s="18">
        <f>-E6*E19</f>
        <v>-836215370.87887</v>
      </c>
      <c r="F11" s="18">
        <f>-F6*F19</f>
        <v>-911900639.2712567</v>
      </c>
      <c r="G11" s="18">
        <f>-G6*G19</f>
        <v>-991585007.770694</v>
      </c>
      <c r="H11" s="18">
        <f>-H6*H19</f>
        <v>-1075774630.6476529</v>
      </c>
      <c r="I11" s="18">
        <f>-I6*I19</f>
        <v>-1165016383.1468425</v>
      </c>
      <c r="J11" s="18">
        <f>-J6*J19</f>
        <v>-1259903628.4205227</v>
      </c>
      <c r="K11" s="18">
        <f>-K6*K19</f>
        <v>-1361082595.20846</v>
      </c>
    </row>
    <row r="12" spans="1:11" x14ac:dyDescent="0.25">
      <c r="A12" t="s">
        <v>55</v>
      </c>
      <c r="B12" s="18">
        <f>-(B6-Assumptions!B29)*Assumptions!B11</f>
        <v>681782689.8630791</v>
      </c>
      <c r="C12" s="18">
        <f>-(C6-B6)*Assumptions!B11</f>
        <v>-78963767.165126</v>
      </c>
      <c r="D12" s="18">
        <f>-(D6-C6)*Assumptions!B11</f>
        <v>-95308435.65636668</v>
      </c>
      <c r="E12" s="18">
        <f>-(E6-D6)*Assumptions!B11</f>
        <v>-112175786.054209</v>
      </c>
      <c r="F12" s="18">
        <f>-(F6-E6)*Assumptions!B11</f>
        <v>-129667342.07949431</v>
      </c>
      <c r="G12" s="18">
        <f>-(G6-F6)*Assumptions!B11</f>
        <v>-147890375.69462463</v>
      </c>
      <c r="H12" s="18">
        <f>-(H6-G6)*Assumptions!B11</f>
        <v>-166958985.24054813</v>
      </c>
      <c r="I12" s="18">
        <f>-(I6-H6)*Assumptions!B11</f>
        <v>-186995262.13960758</v>
      </c>
      <c r="J12" s="18">
        <f>-(J6-I6)*Assumptions!B11</f>
        <v>-208130562.5906943</v>
      </c>
      <c r="K12" s="18">
        <f>-(K6-J6)*Assumptions!B11</f>
        <v>-230506902.44397864</v>
      </c>
    </row>
    <row r="13" spans="1:11" x14ac:dyDescent="0.25">
      <c r="A13" s="19" t="s">
        <v>56</v>
      </c>
      <c r="B13" s="20">
        <f>B9+B10+B11+B12</f>
        <v>4302362882.281787</v>
      </c>
      <c r="C13" s="20">
        <f>C9+C10+C11+C12</f>
        <v>3516676134.3041015</v>
      </c>
      <c r="D13" s="20">
        <f>D9+D10+D11+D12</f>
        <v>3481296814.6478095</v>
      </c>
      <c r="E13" s="20">
        <f>E9+E10+E11+E12</f>
        <v>3451161158.82302</v>
      </c>
      <c r="F13" s="20">
        <f>F9+F10+F11+F12</f>
        <v>3426055351.9910517</v>
      </c>
      <c r="G13" s="20">
        <f>G9+G10+G11+G12</f>
        <v>3405785450.601173</v>
      </c>
      <c r="H13" s="20">
        <f>H9+H10+H11+H12</f>
        <v>3390175101.1235056</v>
      </c>
      <c r="I13" s="20">
        <f>I9+I10+I11+I12</f>
        <v>3379063329.885657</v>
      </c>
      <c r="J13" s="20">
        <f>J9+J10+J11+J12</f>
        <v>3372302368.1420584</v>
      </c>
      <c r="K13" s="20">
        <f>K9+K10+K11+K12</f>
        <v>3369755475.479668</v>
      </c>
    </row>
    <row r="14" spans="1:11" x14ac:dyDescent="0.25">
      <c r="A14" t="s">
        <v>57</v>
      </c>
      <c r="B14" s="21">
        <f>1/(1+Assumptions!$B$26)^(1-0.5*Assumptions!$B$32)</f>
        <v>0.958690788222591</v>
      </c>
      <c r="C14" s="21">
        <f>1/(1+Assumptions!$B$26)^(2-0.5*Assumptions!$B$32)</f>
        <v>0.8811212254559613</v>
      </c>
      <c r="D14" s="21">
        <f>1/(1+Assumptions!$B$26)^(3-0.5*Assumptions!$B$32)</f>
        <v>0.8098279690247263</v>
      </c>
      <c r="E14" s="21">
        <f>1/(1+Assumptions!$B$26)^(4-0.5*Assumptions!$B$32)</f>
        <v>0.7443031906027909</v>
      </c>
      <c r="F14" s="21">
        <f>1/(1+Assumptions!$B$26)^(5-0.5*Assumptions!$B$32)</f>
        <v>0.6840801512556548</v>
      </c>
      <c r="G14" s="21">
        <f>1/(1+Assumptions!$B$26)^(6-0.5*Assumptions!$B$32)</f>
        <v>0.6287298768166866</v>
      </c>
      <c r="H14" s="21">
        <f>1/(1+Assumptions!$B$26)^(7-0.5*Assumptions!$B$32)</f>
        <v>0.5778581022652618</v>
      </c>
      <c r="I14" s="21">
        <f>1/(1+Assumptions!$B$26)^(8-0.5*Assumptions!$B$32)</f>
        <v>0.5311024633412927</v>
      </c>
      <c r="J14" s="21">
        <f>1/(1+Assumptions!$B$26)^(9-0.5*Assumptions!$B$32)</f>
        <v>0.4881299153917667</v>
      </c>
      <c r="K14" s="21">
        <f>1/(1+Assumptions!$B$26)^(10-0.5*Assumptions!$B$32)</f>
        <v>0.448634361063503</v>
      </c>
    </row>
    <row r="15" spans="1:11" x14ac:dyDescent="0.25">
      <c r="A15" s="19" t="s">
        <v>58</v>
      </c>
      <c r="B15" s="20">
        <f>B13*B14</f>
        <v>4124635662.834345</v>
      </c>
      <c r="C15" s="20">
        <f>C13*C14</f>
        <v>3098617984.989763</v>
      </c>
      <c r="D15" s="20">
        <f>D13*D14</f>
        <v>2819251528.9784846</v>
      </c>
      <c r="E15" s="20">
        <f>E13*E14</f>
        <v>2568710261.796399</v>
      </c>
      <c r="F15" s="20">
        <f>F13*F14</f>
        <v>2343696463.4002843</v>
      </c>
      <c r="G15" s="20">
        <f>G13*G14</f>
        <v>2141319066.8205388</v>
      </c>
      <c r="H15" s="20">
        <f>H13*H14</f>
        <v>1959040150.282171</v>
      </c>
      <c r="I15" s="20">
        <f>I13*I14</f>
        <v>1794628858.2885036</v>
      </c>
      <c r="J15" s="20">
        <f>J13*J14</f>
        <v>1646121669.6366374</v>
      </c>
      <c r="K15" s="20">
        <f>K13*K14</f>
        <v>1511788094.6820617</v>
      </c>
    </row>
    <row r="17" spans="1:2" x14ac:dyDescent="0.25">
      <c r="A17" s="22" t="s">
        <v>59</v>
      </c>
      <c r="B17" s="23">
        <f>SUM(B15:K15)</f>
        <v>24007809741.709187</v>
      </c>
    </row>
    <row r="19" spans="1:11" x14ac:dyDescent="0.25">
      <c r="A19" t="s">
        <v>7</v>
      </c>
      <c r="B19" s="9">
        <f>Assumptions!$B$10+($B$20-Assumptions!$B$10)*0/9</f>
        <v>0.014689079854317163</v>
      </c>
      <c r="C19" s="9">
        <f>Assumptions!$B$10+($B$20-Assumptions!$B$10)*1/9</f>
        <v>0.016083663959479366</v>
      </c>
      <c r="D19" s="9">
        <f>Assumptions!$B$10+($B$20-Assumptions!$B$10)*2/9</f>
        <v>0.017478248064641568</v>
      </c>
      <c r="E19" s="9">
        <f>Assumptions!$B$10+($B$20-Assumptions!$B$10)*3/9</f>
        <v>0.018872832169803774</v>
      </c>
      <c r="F19" s="9">
        <f>Assumptions!$B$10+($B$20-Assumptions!$B$10)*4/9</f>
        <v>0.020267416274965977</v>
      </c>
      <c r="G19" s="9">
        <f>Assumptions!$B$10+($B$20-Assumptions!$B$10)*5/9</f>
        <v>0.02166200038012818</v>
      </c>
      <c r="H19" s="9">
        <f>Assumptions!$B$10+($B$20-Assumptions!$B$10)*6/9</f>
        <v>0.023056584485290382</v>
      </c>
      <c r="I19" s="9">
        <f>Assumptions!$B$10+($B$20-Assumptions!$B$10)*7/9</f>
        <v>0.024451168590452585</v>
      </c>
      <c r="J19" s="9">
        <f>Assumptions!$B$10+($B$20-Assumptions!$B$10)*8/9</f>
        <v>0.025845752695614788</v>
      </c>
      <c r="K19" s="9">
        <f>Assumptions!$B$10+($B$20-Assumptions!$B$10)*9/9</f>
        <v>0.027240336800776994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0.027240336800776994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3369755475.479668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4173387448.6157155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0.1403841192602416</v>
      </c>
    </row>
    <row r="7" spans="1:2" x14ac:dyDescent="0.25">
      <c r="A7" t="s">
        <v>66</v>
      </c>
      <c r="B7" s="18">
        <f>-MAX(B5,0)*B6</f>
        <v>-585877321.3056641</v>
      </c>
    </row>
    <row r="8" spans="1:2" x14ac:dyDescent="0.25">
      <c r="A8" t="s">
        <v>67</v>
      </c>
      <c r="B8" s="18">
        <f>IF(OR(Assumptions!$B$33=0,Assumptions!B12&lt;=0),B5,MAX(B5+B7,0))</f>
        <v>3587510127.3100514</v>
      </c>
    </row>
    <row r="9" spans="1:2" x14ac:dyDescent="0.25">
      <c r="A9" t="s">
        <v>68</v>
      </c>
      <c r="B9" s="18">
        <f>B8*(1+Assumptions!B12)/(Assumptions!B26-Assumptions!B12)</f>
        <v>58335753056.0514</v>
      </c>
    </row>
    <row r="10" spans="1:2" x14ac:dyDescent="0.25">
      <c r="A10" t="s">
        <v>69</v>
      </c>
      <c r="B10" s="18">
        <f>B9/(1+Assumptions!B26)^(10-0.5*Assumptions!B32)</f>
        <v>26171423299.45991</v>
      </c>
    </row>
    <row r="11" spans="1:2" x14ac:dyDescent="0.25">
      <c r="A11" t="s">
        <v>70</v>
      </c>
      <c r="B11" s="18">
        <f>Forecast!B17+B10</f>
        <v>50179233041.1691</v>
      </c>
    </row>
    <row r="12" spans="1:2" x14ac:dyDescent="0.25">
      <c r="A12" t="s">
        <v>71</v>
      </c>
      <c r="B12" s="18">
        <f>-Assumptions!B30</f>
        <v>-2006000000</v>
      </c>
    </row>
    <row r="13" spans="1:2" x14ac:dyDescent="0.25">
      <c r="A13" t="s">
        <v>72</v>
      </c>
      <c r="B13" s="18">
        <f>B11+B12</f>
        <v>48173233041.1691</v>
      </c>
    </row>
    <row r="14" spans="1:2" x14ac:dyDescent="0.25">
      <c r="A14" s="19" t="s">
        <v>73</v>
      </c>
      <c r="B14" s="24">
        <f>B13/Assumptions!B31</f>
        <v>32.52750374150513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5845590854.41725</v>
      </c>
    </row>
    <row r="18" spans="1:2" x14ac:dyDescent="0.25">
      <c r="A18" t="s">
        <v>68</v>
      </c>
      <c r="B18" s="18">
        <f>B17*Assumptions!B13</f>
        <v>75637529127.76485</v>
      </c>
    </row>
    <row r="19" spans="1:2" x14ac:dyDescent="0.25">
      <c r="A19" t="s">
        <v>69</v>
      </c>
      <c r="B19" s="18">
        <f>B18/(1+Assumptions!B26)^(10-0.5*Assumptions!B32)</f>
        <v>33933594552.65688</v>
      </c>
    </row>
    <row r="20" spans="1:2" x14ac:dyDescent="0.25">
      <c r="A20" t="s">
        <v>70</v>
      </c>
      <c r="B20" s="18">
        <f>Forecast!B17+B19</f>
        <v>57941404294.366066</v>
      </c>
    </row>
    <row r="21" spans="1:2" x14ac:dyDescent="0.25">
      <c r="A21" t="s">
        <v>71</v>
      </c>
      <c r="B21" s="18">
        <f>-Assumptions!B30</f>
        <v>-2006000000</v>
      </c>
    </row>
    <row r="22" spans="1:2" x14ac:dyDescent="0.25">
      <c r="A22" t="s">
        <v>72</v>
      </c>
      <c r="B22" s="18">
        <f>B20+B21</f>
        <v>55935404294.366066</v>
      </c>
    </row>
    <row r="23" spans="1:2" x14ac:dyDescent="0.25">
      <c r="A23" s="19" t="s">
        <v>73</v>
      </c>
      <c r="B23" s="25">
        <f>B22/Assumptions!B31</f>
        <v>37.768672717330226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38.67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32.52750374150513</v>
      </c>
    </row>
    <row r="29" spans="1:2" x14ac:dyDescent="0.25">
      <c r="A29" s="19" t="s">
        <v>81</v>
      </c>
      <c r="B29" s="11">
        <f>B28/B26-1</f>
        <v>-0.15884396841207327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0.068035</v>
      </c>
      <c r="B5" s="31">
        <v>43.08491318320647</v>
      </c>
      <c r="C5" s="31">
        <v>44.840962672698915</v>
      </c>
      <c r="D5" s="31">
        <v>47.05089553661555</v>
      </c>
      <c r="E5" s="31">
        <v>49.89371139678797</v>
      </c>
      <c r="F5" s="31">
        <v>53.65677955679832</v>
      </c>
    </row>
    <row r="6" spans="1:6" x14ac:dyDescent="0.25">
      <c r="A6" s="30">
        <v>0.078035</v>
      </c>
      <c r="B6" s="31">
        <v>36.29700566531266</v>
      </c>
      <c r="C6" s="31">
        <v>37.25287272451898</v>
      </c>
      <c r="D6" s="31">
        <v>38.42415462481052</v>
      </c>
      <c r="E6" s="31">
        <v>39.87811945437876</v>
      </c>
      <c r="F6" s="31">
        <v>41.713297338450865</v>
      </c>
    </row>
    <row r="7" spans="1:6" x14ac:dyDescent="0.25">
      <c r="A7" s="30">
        <v>0.088035</v>
      </c>
      <c r="B7" s="31">
        <v>31.37005640263951</v>
      </c>
      <c r="C7" s="31">
        <v>31.893280126304198</v>
      </c>
      <c r="D7" s="32">
        <v>32.52753511607926</v>
      </c>
      <c r="E7" s="31">
        <v>33.30151903702294</v>
      </c>
      <c r="F7" s="31">
        <v>34.25475171505264</v>
      </c>
    </row>
    <row r="8" spans="1:6" x14ac:dyDescent="0.25">
      <c r="A8" s="30">
        <v>0.098035</v>
      </c>
      <c r="B8" s="31">
        <v>27.631283631546587</v>
      </c>
      <c r="C8" s="31">
        <v>27.905286096871126</v>
      </c>
      <c r="D8" s="31">
        <v>28.239726817824657</v>
      </c>
      <c r="E8" s="31">
        <v>28.647930904048323</v>
      </c>
      <c r="F8" s="31">
        <v>29.147451309917503</v>
      </c>
    </row>
    <row r="9" spans="1:6" x14ac:dyDescent="0.25">
      <c r="A9" s="30">
        <v>0.108035</v>
      </c>
      <c r="B9" s="31">
        <v>24.697215716953295</v>
      </c>
      <c r="C9" s="31">
        <v>24.821367824926842</v>
      </c>
      <c r="D9" s="31">
        <v>24.979592806678323</v>
      </c>
      <c r="E9" s="31">
        <v>25.17844019903955</v>
      </c>
      <c r="F9" s="31">
        <v>25.426253072581414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46398000000</v>
      </c>
      <c r="C5" s="18">
        <v>46309000000</v>
      </c>
      <c r="D5" s="18">
        <v>51362000000</v>
      </c>
      <c r="E5" s="18">
        <v>51217000000</v>
      </c>
      <c r="F5" s="6" t="s">
        <v>91</v>
      </c>
    </row>
    <row r="6" spans="1:6" x14ac:dyDescent="0.25">
      <c r="A6" t="s">
        <v>51</v>
      </c>
      <c r="B6" s="18">
        <v>3797000000</v>
      </c>
      <c r="C6" s="18">
        <v>3702000000</v>
      </c>
      <c r="D6" s="18">
        <v>6311000000</v>
      </c>
      <c r="E6" s="18">
        <v>5915000000</v>
      </c>
      <c r="F6" s="6" t="s">
        <v>92</v>
      </c>
    </row>
    <row r="7" spans="1:6" x14ac:dyDescent="0.25">
      <c r="A7" t="s">
        <v>93</v>
      </c>
      <c r="B7" s="18">
        <v>797000000</v>
      </c>
      <c r="C7" s="18">
        <v>808000000</v>
      </c>
      <c r="D7" s="18">
        <v>844000000</v>
      </c>
      <c r="E7" s="18">
        <v>859000000</v>
      </c>
      <c r="F7" s="6" t="s">
        <v>94</v>
      </c>
    </row>
    <row r="8" spans="1:6" x14ac:dyDescent="0.25">
      <c r="A8" t="s">
        <v>95</v>
      </c>
      <c r="B8" s="18">
        <v>684000000</v>
      </c>
      <c r="C8" s="18">
        <v>430000000</v>
      </c>
      <c r="D8" s="18">
        <v>812000000</v>
      </c>
      <c r="E8" s="18">
        <v>969000000</v>
      </c>
      <c r="F8" s="6" t="s">
        <v>96</v>
      </c>
    </row>
    <row r="9" spans="1:6" x14ac:dyDescent="0.25">
      <c r="A9" t="s">
        <v>97</v>
      </c>
      <c r="B9" s="18">
        <v>1678000000</v>
      </c>
      <c r="C9" s="18">
        <v>787000000</v>
      </c>
      <c r="D9" s="18">
        <v>-716000000</v>
      </c>
      <c r="E9" s="18">
        <v>513000000</v>
      </c>
      <c r="F9" s="6" t="s">
        <v>98</v>
      </c>
    </row>
    <row r="10" spans="1:6" x14ac:dyDescent="0.25">
      <c r="A10" t="s">
        <v>99</v>
      </c>
      <c r="B10" s="18">
        <v>11033000000</v>
      </c>
      <c r="C10" s="18">
        <v>11013000000</v>
      </c>
      <c r="D10" s="18">
        <v>11952000000</v>
      </c>
      <c r="E10" s="18">
        <v>12144000000</v>
      </c>
      <c r="F10" s="6" t="s">
        <v>100</v>
      </c>
    </row>
    <row r="11" spans="1:6" x14ac:dyDescent="0.25">
      <c r="A11" t="s">
        <v>101</v>
      </c>
      <c r="B11" s="18">
        <v>9027000000</v>
      </c>
      <c r="C11" s="18">
        <v>9151000000</v>
      </c>
      <c r="D11" s="18">
        <v>11582000000</v>
      </c>
      <c r="E11" s="18">
        <v>10675000000</v>
      </c>
      <c r="F11" s="6" t="s">
        <v>102</v>
      </c>
    </row>
    <row r="12" spans="1:6" x14ac:dyDescent="0.25">
      <c r="A12" t="s">
        <v>34</v>
      </c>
      <c r="B12" s="34">
        <v>1481000000</v>
      </c>
      <c r="C12" s="34">
        <v>1487600000</v>
      </c>
      <c r="D12" s="34">
        <v>1529700000</v>
      </c>
      <c r="E12" s="34">
        <v>1569800000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