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<sst xmlns="http://schemas.openxmlformats.org/spreadsheetml/2006/main" count="111" uniqueCount="99">
  <si>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NIKE, Inc. (NKE)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</si>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</sst>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-0.032401823147472864</v>
      </c>
    </row>
    <row r="7" spans="1:2" x14ac:dyDescent="0.25">
      <c r="A7" t="s">
        <v>5</v>
      </c>
      <c r="B7" s="6">
        <v>0.10003465673409086</v>
      </c>
    </row>
    <row r="8" spans="1:2" x14ac:dyDescent="0.25">
      <c r="A8" t="s">
        <v>6</v>
      </c>
      <c r="B8" s="6">
        <v>0.17690925426774484</v>
      </c>
    </row>
    <row r="9" spans="1:2" x14ac:dyDescent="0.25">
      <c r="A9" t="s">
        <v>7</v>
      </c>
      <c r="B9" s="6">
        <v>0.01695740843112379</v>
      </c>
    </row>
    <row r="10" spans="1:2" x14ac:dyDescent="0.25">
      <c r="A10" t="s">
        <v>8</v>
      </c>
      <c r="B10" s="6">
        <v>0.014689079854317163</v>
      </c>
    </row>
    <row r="11" spans="1:2" x14ac:dyDescent="0.25">
      <c r="A11" t="s">
        <v>9</v>
      </c>
      <c r="B11" s="6">
        <v>-0.1557490599643776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11.903577912059207</v>
      </c>
    </row>
    <row r="14" spans="1:3" x14ac:dyDescent="0.25">
      <c r="A14" t="s">
        <v>12</v>
      </c>
      <c r="B14" s="6">
        <v>0.17808282113203588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1.0737</v>
      </c>
      <c r="C19" s="8" t="s">
        <v>19</v>
      </c>
    </row>
    <row r="20" spans="1:2" x14ac:dyDescent="0.25">
      <c r="A20" t="s">
        <v>20</v>
      </c>
      <c r="B20" s="10">
        <f>B17+B19*B18</f>
        <v>0.1090335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52679036928</v>
      </c>
    </row>
    <row r="23" spans="1:2" x14ac:dyDescent="0.25">
      <c r="A23" t="s">
        <v>24</v>
      </c>
      <c r="B23" s="11">
        <v>11033000000</v>
      </c>
    </row>
    <row r="24" spans="1:2" x14ac:dyDescent="0.25">
      <c r="A24" t="s">
        <v>25</v>
      </c>
      <c r="B24" s="10">
        <f>B22/(B22+B23)</f>
        <v>0.8268302108678738</v>
      </c>
    </row>
    <row r="25" spans="1:2" x14ac:dyDescent="0.25">
      <c r="A25" t="s">
        <v>26</v>
      </c>
      <c r="B25" s="10">
        <f>1-B24</f>
        <v>0.17316978913212622</v>
      </c>
    </row>
    <row r="26" spans="1:2" x14ac:dyDescent="0.25">
      <c r="A26" t="s">
        <v>27</v>
      </c>
      <c r="B26" s="12">
        <f>B24*B20+B25*B21*(1-B8)</f>
        <v>0.10012675266889896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46398000000</v>
      </c>
      <c r="C29" s="8" t="s">
        <v>30</v>
      </c>
    </row>
    <row r="30" spans="1:2" x14ac:dyDescent="0.25">
      <c r="A30" t="s">
        <v>31</v>
      </c>
      <c r="B30" s="11">
        <v>2006000000</v>
      </c>
    </row>
    <row r="31" spans="1:2" x14ac:dyDescent="0.25">
      <c r="A31" t="s">
        <v>32</v>
      </c>
      <c r="B31" s="13">
        <v>1481000000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-0.032401823147472864</v>
      </c>
      <c r="C5" s="10">
        <f>Assumptions!B6</f>
        <v>-0.032401823147472864</v>
      </c>
      <c r="D5" s="10">
        <f>Assumptions!B6</f>
        <v>-0.032401823147472864</v>
      </c>
      <c r="E5" s="10">
        <f>Assumptions!B6</f>
        <v>-0.032401823147472864</v>
      </c>
      <c r="F5" s="10">
        <f>Assumptions!B6</f>
        <v>-0.032401823147472864</v>
      </c>
    </row>
    <row r="6" spans="1:6" x14ac:dyDescent="0.25">
      <c r="A6" t="s">
        <v>43</v>
      </c>
      <c r="B6" s="18">
        <f>Assumptions!B29*(1+B5)</f>
        <v>44894620209.60355</v>
      </c>
      <c r="C6" s="18">
        <f>B6*(1+C5)</f>
        <v>43439952665.29902</v>
      </c>
      <c r="D6" s="18">
        <f>C6*(1+D5)</f>
        <v>42032419001.50341</v>
      </c>
      <c r="E6" s="18">
        <f>D6*(1+E5)</f>
        <v>40670491994.55622</v>
      </c>
      <c r="F6" s="18">
        <f>E6*(1+F5)</f>
        <v>39352693905.6279</v>
      </c>
    </row>
    <row r="7" spans="1:6" x14ac:dyDescent="0.25">
      <c r="A7" t="s">
        <v>5</v>
      </c>
      <c r="B7" s="10">
        <f>Assumptions!B7</f>
        <v>0.10003465673409086</v>
      </c>
      <c r="C7" s="10">
        <f>Assumptions!B7</f>
        <v>0.10003465673409086</v>
      </c>
      <c r="D7" s="10">
        <f>Assumptions!B7</f>
        <v>0.10003465673409086</v>
      </c>
      <c r="E7" s="10">
        <f>Assumptions!B7</f>
        <v>0.10003465673409086</v>
      </c>
      <c r="F7" s="10">
        <f>Assumptions!B7</f>
        <v>0.10003465673409086</v>
      </c>
    </row>
    <row r="8" spans="1:6" x14ac:dyDescent="0.25">
      <c r="A8" t="s">
        <v>44</v>
      </c>
      <c r="B8" s="18">
        <f>B6*B7</f>
        <v>4491017921.87507</v>
      </c>
      <c r="C8" s="18">
        <f>C6*C7</f>
        <v>4345500753.418343</v>
      </c>
      <c r="D8" s="18">
        <f>D6*D7</f>
        <v>4204698606.518872</v>
      </c>
      <c r="E8" s="18">
        <f>E6*E7</f>
        <v>4068458705.882022</v>
      </c>
      <c r="F8" s="18">
        <f>F6*F7</f>
        <v>3936633226.4112363</v>
      </c>
    </row>
    <row r="9" spans="1:6" x14ac:dyDescent="0.25">
      <c r="A9" t="s">
        <v>45</v>
      </c>
      <c r="B9" s="18">
        <f>B8*(1-Assumptions!B8)</f>
        <v>3696515290.413074</v>
      </c>
      <c r="C9" s="18">
        <f>C8*(1-Assumptions!B8)</f>
        <v>3576741455.71118</v>
      </c>
      <c r="D9" s="18">
        <f>D8*(1-Assumptions!B8)</f>
        <v>3460848511.6189923</v>
      </c>
      <c r="E9" s="18">
        <f>E8*(1-Assumptions!B8)</f>
        <v>3348710710.205319</v>
      </c>
      <c r="F9" s="18">
        <f>F8*(1-Assumptions!B8)</f>
        <v>3240206378.0011983</v>
      </c>
    </row>
    <row r="10" spans="1:6" x14ac:dyDescent="0.25">
      <c r="A10" t="s">
        <v>46</v>
      </c>
      <c r="B10" s="18">
        <f>B6*Assumptions!B9</f>
        <v>761296411.2544317</v>
      </c>
      <c r="C10" s="18">
        <f>C6*Assumptions!B9</f>
        <v>736629019.5741599</v>
      </c>
      <c r="D10" s="18">
        <f>D6*Assumptions!B9</f>
        <v>712760896.3566217</v>
      </c>
      <c r="E10" s="18">
        <f>E6*Assumptions!B9</f>
        <v>689666143.8464402</v>
      </c>
      <c r="F10" s="18">
        <f>F6*Assumptions!B9</f>
        <v>667319703.4227283</v>
      </c>
    </row>
    <row r="11" spans="1:6" x14ac:dyDescent="0.25">
      <c r="A11" t="s">
        <v>47</v>
      </c>
      <c r="B11" s="18">
        <f>-B6*Assumptions!B10</f>
        <v>-659460661.2881078</v>
      </c>
      <c r="C11" s="18">
        <f>-C6*Assumptions!B10</f>
        <v>-638092933.5683349</v>
      </c>
      <c r="D11" s="18">
        <f>-D6*Assumptions!B10</f>
        <v>-617417559.1832017</v>
      </c>
      <c r="E11" s="18">
        <f>-E6*Assumptions!B10</f>
        <v>-597412104.6224033</v>
      </c>
      <c r="F11" s="18">
        <f>-F6*Assumptions!B10</f>
        <v>-578054863.2622685</v>
      </c>
    </row>
    <row r="12" spans="1:6" x14ac:dyDescent="0.25">
      <c r="A12" t="s">
        <v>48</v>
      </c>
      <c r="B12" s="18">
        <f>-(B6-Assumptions!B29)*Assumptions!B11</f>
        <v>-234149989.12368953</v>
      </c>
      <c r="C12" s="18">
        <f>-(C6-B6)*Assumptions!B11</f>
        <v>-226563102.5861209</v>
      </c>
      <c r="D12" s="18">
        <f>-(D6-C6)*Assumptions!B11</f>
        <v>-219222045.00438234</v>
      </c>
      <c r="E12" s="18">
        <f>-(E6-D6)*Assumptions!B11</f>
        <v>-212118851.0721231</v>
      </c>
      <c r="F12" s="18">
        <f>-(F6-E6)*Assumptions!B11</f>
        <v>-205245813.5734394</v>
      </c>
    </row>
    <row r="13" spans="1:6" x14ac:dyDescent="0.25">
      <c r="A13" s="19" t="s">
        <v>49</v>
      </c>
      <c r="B13" s="20">
        <f>B9+B10+B11+B12</f>
        <v>3564201051.2557077</v>
      </c>
      <c r="C13" s="20">
        <f>C9+C10+C11+C12</f>
        <v>3448714439.130884</v>
      </c>
      <c r="D13" s="20">
        <f>D9+D10+D11+D12</f>
        <v>3336969803.78803</v>
      </c>
      <c r="E13" s="20">
        <f>E9+E10+E11+E12</f>
        <v>3228845898.357233</v>
      </c>
      <c r="F13" s="20">
        <f>F9+F10+F11+F12</f>
        <v>3124225404.588218</v>
      </c>
    </row>
    <row r="14" spans="1:6" x14ac:dyDescent="0.25">
      <c r="A14" t="s">
        <v>50</v>
      </c>
      <c r="B14" s="21">
        <f>1/(1+Assumptions!$B$26)^(1-0.5*Assumptions!$B$32)</f>
        <v>0.9534076603890407</v>
      </c>
      <c r="C14" s="21">
        <f>1/(1+Assumptions!$B$26)^(2-0.5*Assumptions!$B$32)</f>
        <v>0.8666343746991709</v>
      </c>
      <c r="D14" s="21">
        <f>1/(1+Assumptions!$B$26)^(3-0.5*Assumptions!$B$32)</f>
        <v>0.7877586583516151</v>
      </c>
      <c r="E14" s="21">
        <f>1/(1+Assumptions!$B$26)^(4-0.5*Assumptions!$B$32)</f>
        <v>0.7160617232882655</v>
      </c>
      <c r="F14" s="21">
        <f>1/(1+Assumptions!$B$26)^(5-0.5*Assumptions!$B$32)</f>
        <v>0.6508902011073772</v>
      </c>
    </row>
    <row r="15" spans="1:6" x14ac:dyDescent="0.25">
      <c r="A15" s="19" t="s">
        <v>51</v>
      </c>
      <c r="B15" s="20">
        <f>B13*B14</f>
        <v>3398136585.4338636</v>
      </c>
      <c r="C15" s="20">
        <f>C13*C14</f>
        <v>2988774481.4721956</v>
      </c>
      <c r="D15" s="20">
        <f>D13*D14</f>
        <v>2628726855.591911</v>
      </c>
      <c r="E15" s="20">
        <f>E13*E14</f>
        <v>2312052958.209928</v>
      </c>
      <c r="F15" s="20">
        <f>F13*F14</f>
        <v>2033527701.8972023</v>
      </c>
    </row>
    <row r="17" spans="1:2" x14ac:dyDescent="0.25">
      <c r="A17" s="22" t="s">
        <v>52</v>
      </c>
      <c r="B17" s="23">
        <f>SUM(B15:F15)</f>
        <v>13361218582.6051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3124225404.588218</v>
      </c>
    </row>
    <row r="5" spans="1:2" x14ac:dyDescent="0.25">
      <c r="A5" t="s">
        <v>56</v>
      </c>
      <c r="B5" s="18">
        <f>IF(Assumptions!$B$33=0,B4,B4-Forecast!F11-Forecast!F10-Forecast!F12)</f>
        <v>3286935375.722952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0.1403841192602416</v>
      </c>
    </row>
    <row r="7" spans="1:2" x14ac:dyDescent="0.25">
      <c r="A7" t="s">
        <v>58</v>
      </c>
      <c r="B7" s="18">
        <f>-MAX(Forecast!F9,0)*B6</f>
        <v>-461433527.78619796</v>
      </c>
    </row>
    <row r="8" spans="1:2" x14ac:dyDescent="0.25">
      <c r="A8" t="s">
        <v>59</v>
      </c>
      <c r="B8" s="18">
        <f>IF(OR(Assumptions!$B$33=0,Assumptions!B12&lt;=0),B5,MAX(B5+B7,0))</f>
        <v>2825501847.9367537</v>
      </c>
    </row>
    <row r="9" spans="1:2" x14ac:dyDescent="0.25">
      <c r="A9" t="s">
        <v>60</v>
      </c>
      <c r="B9" s="18">
        <f>B8*(1+Assumptions!B12)/(Assumptions!B26-Assumptions!B12)</f>
        <v>38550040980.72935</v>
      </c>
    </row>
    <row r="10" spans="1:2" x14ac:dyDescent="0.25">
      <c r="A10" t="s">
        <v>61</v>
      </c>
      <c r="B10" s="18">
        <f>B9/(1+Assumptions!B26)^(5-0.5*Assumptions!B32)</f>
        <v>25091843926.644554</v>
      </c>
    </row>
    <row r="11" spans="1:2" x14ac:dyDescent="0.25">
      <c r="A11" t="s">
        <v>62</v>
      </c>
      <c r="B11" s="18">
        <f>Forecast!B17+B10</f>
        <v>38453062509.24966</v>
      </c>
    </row>
    <row r="12" spans="1:2" x14ac:dyDescent="0.25">
      <c r="A12" t="s">
        <v>63</v>
      </c>
      <c r="B12" s="18">
        <f>-Assumptions!B30</f>
        <v>-2006000000</v>
      </c>
    </row>
    <row r="13" spans="1:2" x14ac:dyDescent="0.25">
      <c r="A13" t="s">
        <v>64</v>
      </c>
      <c r="B13" s="18">
        <f>B11+B12</f>
        <v>36447062509.24966</v>
      </c>
    </row>
    <row r="14" spans="1:2" x14ac:dyDescent="0.25">
      <c r="A14" s="19" t="s">
        <v>65</v>
      </c>
      <c r="B14" s="24">
        <f>B13/Assumptions!B31</f>
        <v>24.609765367487952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4603952929.833964</v>
      </c>
    </row>
    <row r="18" spans="1:2" x14ac:dyDescent="0.25">
      <c r="A18" t="s">
        <v>60</v>
      </c>
      <c r="B18" s="18">
        <f>B17*Assumptions!B13</f>
        <v>54803512403.73185</v>
      </c>
    </row>
    <row r="19" spans="1:2" x14ac:dyDescent="0.25">
      <c r="A19" t="s">
        <v>61</v>
      </c>
      <c r="B19" s="18">
        <f>B18/(1+Assumptions!B26)^(5-0.5*Assumptions!B32)</f>
        <v>35671069209.85566</v>
      </c>
    </row>
    <row r="20" spans="1:2" x14ac:dyDescent="0.25">
      <c r="A20" t="s">
        <v>62</v>
      </c>
      <c r="B20" s="18">
        <f>Forecast!B17+B19</f>
        <v>49032287792.46076</v>
      </c>
    </row>
    <row r="21" spans="1:2" x14ac:dyDescent="0.25">
      <c r="A21" t="s">
        <v>63</v>
      </c>
      <c r="B21" s="18">
        <f>-Assumptions!B30</f>
        <v>-2006000000</v>
      </c>
    </row>
    <row r="22" spans="1:2" x14ac:dyDescent="0.25">
      <c r="A22" t="s">
        <v>64</v>
      </c>
      <c r="B22" s="18">
        <f>B20+B21</f>
        <v>47026287792.46076</v>
      </c>
    </row>
    <row r="23" spans="1:2" x14ac:dyDescent="0.25">
      <c r="A23" s="19" t="s">
        <v>65</v>
      </c>
      <c r="B23" s="25">
        <f>B22/Assumptions!B31</f>
        <v>31.753064005712872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35.51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24.609765367487952</v>
      </c>
    </row>
    <row r="29" spans="1:2" x14ac:dyDescent="0.25">
      <c r="A29" s="19" t="s">
        <v>73</v>
      </c>
      <c r="B29" s="12">
        <f>B28/B26-1</f>
        <v>-0.3069623946074922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0.080127</v>
      </c>
      <c r="B5" s="31">
        <v>30.441615644864758</v>
      </c>
      <c r="C5" s="31">
        <v>31.675871003853633</v>
      </c>
      <c r="D5" s="31">
        <v>33.12602877178222</v>
      </c>
      <c r="E5" s="31">
        <v>34.856695570512905</v>
      </c>
      <c r="F5" s="31">
        <v>36.96111126668939</v>
      </c>
    </row>
    <row r="6" spans="1:6" x14ac:dyDescent="0.25">
      <c r="A6" s="30">
        <v>0.090127</v>
      </c>
      <c r="B6" s="31">
        <v>26.477690888529555</v>
      </c>
      <c r="C6" s="31">
        <v>27.289077695512987</v>
      </c>
      <c r="D6" s="31">
        <v>28.2185608468331</v>
      </c>
      <c r="E6" s="31">
        <v>29.29560206792191</v>
      </c>
      <c r="F6" s="31">
        <v>30.560351757794944</v>
      </c>
    </row>
    <row r="7" spans="1:6" x14ac:dyDescent="0.25">
      <c r="A7" s="30">
        <v>0.100127</v>
      </c>
      <c r="B7" s="31">
        <v>23.440768325070383</v>
      </c>
      <c r="C7" s="31">
        <v>23.991288215026792</v>
      </c>
      <c r="D7" s="32">
        <v>24.609687895650563</v>
      </c>
      <c r="E7" s="31">
        <v>25.310486694162485</v>
      </c>
      <c r="F7" s="31">
        <v>26.112662711324468</v>
      </c>
    </row>
    <row r="8" spans="1:6" x14ac:dyDescent="0.25">
      <c r="A8" s="30">
        <v>0.110127</v>
      </c>
      <c r="B8" s="31">
        <v>21.038666516287577</v>
      </c>
      <c r="C8" s="31">
        <v>21.420255122850396</v>
      </c>
      <c r="D8" s="31">
        <v>21.84209507240541</v>
      </c>
      <c r="E8" s="31">
        <v>22.311721529689667</v>
      </c>
      <c r="F8" s="31">
        <v>22.838675639909773</v>
      </c>
    </row>
    <row r="9" spans="1:6" x14ac:dyDescent="0.25">
      <c r="A9" s="30">
        <v>0.120127</v>
      </c>
      <c r="B9" s="31">
        <v>19.090368318646313</v>
      </c>
      <c r="C9" s="31">
        <v>19.35843338626273</v>
      </c>
      <c r="D9" s="31">
        <v>19.650746482814615</v>
      </c>
      <c r="E9" s="31">
        <v>19.971343251716643</v>
      </c>
      <c r="F9" s="31">
        <v>20.3252074828974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46398000000</v>
      </c>
      <c r="C5" s="18">
        <v>46309000000</v>
      </c>
      <c r="D5" s="18">
        <v>51362000000</v>
      </c>
      <c r="E5" s="18">
        <v>51217000000</v>
      </c>
      <c r="F5" s="8" t="s">
        <v>84</v>
      </c>
    </row>
    <row r="6" spans="1:6" x14ac:dyDescent="0.25">
      <c r="A6" t="s">
        <v>44</v>
      </c>
      <c r="B6" s="18">
        <v>3797000000</v>
      </c>
      <c r="C6" s="18">
        <v>3702000000</v>
      </c>
      <c r="D6" s="18">
        <v>6311000000</v>
      </c>
      <c r="E6" s="18">
        <v>5915000000</v>
      </c>
      <c r="F6" s="8" t="s">
        <v>85</v>
      </c>
    </row>
    <row r="7" spans="1:6" x14ac:dyDescent="0.25">
      <c r="A7" t="s">
        <v>86</v>
      </c>
      <c r="B7" s="18">
        <v>797000000</v>
      </c>
      <c r="C7" s="18">
        <v>808000000</v>
      </c>
      <c r="D7" s="18">
        <v>844000000</v>
      </c>
      <c r="E7" s="18">
        <v>859000000</v>
      </c>
      <c r="F7" s="8" t="s">
        <v>87</v>
      </c>
    </row>
    <row r="8" spans="1:6" x14ac:dyDescent="0.25">
      <c r="A8" t="s">
        <v>88</v>
      </c>
      <c r="B8" s="18">
        <v>684000000</v>
      </c>
      <c r="C8" s="18">
        <v>430000000</v>
      </c>
      <c r="D8" s="18">
        <v>812000000</v>
      </c>
      <c r="E8" s="18">
        <v>969000000</v>
      </c>
      <c r="F8" s="8" t="s">
        <v>89</v>
      </c>
    </row>
    <row r="9" spans="1:6" x14ac:dyDescent="0.25">
      <c r="A9" t="s">
        <v>90</v>
      </c>
      <c r="B9" s="18">
        <v>1678000000</v>
      </c>
      <c r="C9" s="18">
        <v>787000000</v>
      </c>
      <c r="D9" s="18">
        <v>-716000000</v>
      </c>
      <c r="E9" s="18">
        <v>513000000</v>
      </c>
      <c r="F9" s="8" t="s">
        <v>91</v>
      </c>
    </row>
    <row r="10" spans="1:6" x14ac:dyDescent="0.25">
      <c r="A10" t="s">
        <v>92</v>
      </c>
      <c r="B10" s="18">
        <v>11033000000</v>
      </c>
      <c r="C10" s="18">
        <v>11013000000</v>
      </c>
      <c r="D10" s="18">
        <v>11952000000</v>
      </c>
      <c r="E10" s="18">
        <v>12144000000</v>
      </c>
      <c r="F10" s="8" t="s">
        <v>93</v>
      </c>
    </row>
    <row r="11" spans="1:6" x14ac:dyDescent="0.25">
      <c r="A11" t="s">
        <v>94</v>
      </c>
      <c r="B11" s="18">
        <v>9027000000</v>
      </c>
      <c r="C11" s="18">
        <v>9151000000</v>
      </c>
      <c r="D11" s="18">
        <v>11582000000</v>
      </c>
      <c r="E11" s="18">
        <v>10675000000</v>
      </c>
      <c r="F11" s="8" t="s">
        <v>95</v>
      </c>
    </row>
    <row r="12" spans="1:6" x14ac:dyDescent="0.25">
      <c r="A12" t="s">
        <v>32</v>
      </c>
      <c r="B12" s="34">
        <v>1481000000</v>
      </c>
      <c r="C12" s="34">
        <v>1487600000</v>
      </c>
      <c r="D12" s="34">
        <v>1529700000</v>
      </c>
      <c r="E12" s="34">
        <v>1569800000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