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<sst xmlns="http://schemas.openxmlformats.org/spreadsheetml/2006/main" count="116" uniqueCount="103">
  <si>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NN Group N.V. (NN.AS)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</si>
  <si>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</si>
  <si>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</si>
  <si>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</si>
  <si>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</si>
  <si>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</si>
  <si>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</si>
  <si>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</si>
  <si>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</si>
  <si>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</si>
  <si>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</si>
  <si>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</si>
  <si>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</si>
  <si>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</si>
  <si>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</si>
  <si>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</si>
  <si>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</si>
  <si>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</si>
  <si>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</si>
  <si>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</si>
  <si>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</si>
  <si>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</si>
  <si>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</si>
  <si>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</si>
  <si>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</si>
  <si>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</si>
  <si>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</si>
  <si>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</si>
  <si>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</si>
  <si>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</si>
  <si>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</si>
  <si>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</si>
  <si>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</si>
  <si>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</si>
  <si>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</si>
  <si>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</si>
  <si>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</si>
  <si>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</si>
  <si>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</si>
  <si>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</si>
  <si>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</si>
  <si>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</si>
  <si>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</si>
  <si>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</si>
  <si>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</si>
  <si>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</si>
  <si>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</si>
  <si>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</si>
  <si>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</si>
  <si>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</si>
  <si>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</si>
  <si>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</si>
  <si>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</si>
  <si>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</si>
  <si>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</si>
  <si>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</si>
  <si>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</si>
  <si>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</si>
  <si>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</si>
  <si>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</si>
  <si>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</si>
  <si>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</si>
  <si>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</si>
  <si>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</si>
  <si>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</si>
  <si>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</si>
  <si>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</si>
  <si>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</si>
  <si>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</si>
  <si>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</si>
  <si>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</si>
  <si>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</si>
  <si>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</si>
  <si>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</si>
  <si>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</si>
  <si>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</si>
  <si>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</si>
  <si>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</si>
  <si>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</si>
  <si>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</si>
  <si>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</si>
  <si>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</si>
  <si>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</si>
  <si>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</si>
  <si>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</si>
  <si>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</si>
  <si>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</si>
  <si>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</si>
  <si>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</si>
  <si>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</si>
  <si>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</si>
  <si>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</si>
  <si>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</si>
  <si>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</si>
  <si>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</si>
  <si>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</si>
  <si>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</si>
  <si>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</si>
  <si>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</si>
  <si>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Consensus rests on as few as 2 analyst estimate(s).</t>
  </si>
  <si>
    <t>Adjusted: Reported capital expenditure averages just 0.00% of revenue, which is too low to be the company's real investment - property trusts and similar structures invest through lines that are not reported as capex. Capex has been set to 1.50%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</si>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</sst>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-0.11624857645842013</v>
      </c>
    </row>
    <row r="7" spans="1:2" x14ac:dyDescent="0.25">
      <c r="A7" t="s">
        <v>5</v>
      </c>
      <c r="B7" s="6">
        <v>0.1631644421577854</v>
      </c>
    </row>
    <row r="8" spans="1:2" x14ac:dyDescent="0.25">
      <c r="A8" t="s">
        <v>6</v>
      </c>
      <c r="B8" s="6">
        <v>0.20675944333996024</v>
      </c>
    </row>
    <row r="9" spans="1:2" x14ac:dyDescent="0.25">
      <c r="A9" t="s">
        <v>7</v>
      </c>
      <c r="B9" s="6">
        <v>0.014721232152479507</v>
      </c>
    </row>
    <row r="10" spans="1:2" x14ac:dyDescent="0.25">
      <c r="A10" t="s">
        <v>8</v>
      </c>
      <c r="B10" s="6">
        <v>0.015028838345520695</v>
      </c>
    </row>
    <row r="11" spans="1:2" x14ac:dyDescent="0.25">
      <c r="A11" t="s">
        <v>9</v>
      </c>
      <c r="B11" s="6">
        <v>-0.47789514866979654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17.08160112621359</v>
      </c>
    </row>
    <row r="14" spans="1:3" x14ac:dyDescent="0.25">
      <c r="A14" t="s">
        <v>12</v>
      </c>
      <c r="B14" s="6">
        <v>0.08221103451572045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0.6864399999999999</v>
      </c>
      <c r="C19" s="8" t="s">
        <v>19</v>
      </c>
    </row>
    <row r="20" spans="1:2" x14ac:dyDescent="0.25">
      <c r="A20" t="s">
        <v>20</v>
      </c>
      <c r="B20" s="10">
        <f>B17+B19*B18</f>
        <v>0.08661859999999999</v>
      </c>
    </row>
    <row r="21" spans="1:3" x14ac:dyDescent="0.25">
      <c r="A21" t="s">
        <v>21</v>
      </c>
      <c r="B21" s="6">
        <v>0.09517011658339282</v>
      </c>
      <c r="C21" s="8" t="s">
        <v>22</v>
      </c>
    </row>
    <row r="22" spans="1:2" x14ac:dyDescent="0.25">
      <c r="A22" t="s">
        <v>23</v>
      </c>
      <c r="B22" s="11">
        <v>20865478656</v>
      </c>
    </row>
    <row r="23" spans="1:2" x14ac:dyDescent="0.25">
      <c r="A23" t="s">
        <v>24</v>
      </c>
      <c r="B23" s="11">
        <v>13689000000</v>
      </c>
    </row>
    <row r="24" spans="1:2" x14ac:dyDescent="0.25">
      <c r="A24" t="s">
        <v>25</v>
      </c>
      <c r="B24" s="10">
        <f>B22/(B22+B23)</f>
        <v>0.603842959511037</v>
      </c>
    </row>
    <row r="25" spans="1:2" x14ac:dyDescent="0.25">
      <c r="A25" t="s">
        <v>26</v>
      </c>
      <c r="B25" s="10">
        <f>1-B24</f>
        <v>0.39615704048896305</v>
      </c>
    </row>
    <row r="26" spans="1:2" x14ac:dyDescent="0.25">
      <c r="A26" t="s">
        <v>27</v>
      </c>
      <c r="B26" s="12">
        <f>B24*B20+B25*B21*(1-B8)</f>
        <v>0.08221103451572045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8574000000</v>
      </c>
      <c r="C29" s="8" t="s">
        <v>30</v>
      </c>
    </row>
    <row r="30" spans="1:2" x14ac:dyDescent="0.25">
      <c r="A30" t="s">
        <v>31</v>
      </c>
      <c r="B30" s="11">
        <v>7285000000</v>
      </c>
    </row>
    <row r="31" spans="1:2" x14ac:dyDescent="0.25">
      <c r="A31" t="s">
        <v>32</v>
      </c>
      <c r="B31" s="13">
        <v>265200000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-0.11624857645842013</v>
      </c>
      <c r="C5" s="10">
        <f>Assumptions!B6</f>
        <v>-0.11624857645842013</v>
      </c>
      <c r="D5" s="10">
        <f>Assumptions!B6</f>
        <v>-0.11624857645842013</v>
      </c>
      <c r="E5" s="10">
        <f>Assumptions!B6</f>
        <v>-0.11624857645842013</v>
      </c>
      <c r="F5" s="10">
        <f>Assumptions!B6</f>
        <v>-0.11624857645842013</v>
      </c>
    </row>
    <row r="6" spans="1:6" x14ac:dyDescent="0.25">
      <c r="A6" t="s">
        <v>43</v>
      </c>
      <c r="B6" s="18">
        <f>Assumptions!B29*(1+B5)</f>
        <v>7577284705.445506</v>
      </c>
      <c r="C6" s="18">
        <f>B6*(1+C5)</f>
        <v>6696436145.017306</v>
      </c>
      <c r="D6" s="18">
        <f>C6*(1+D5)</f>
        <v>5917984975.814334</v>
      </c>
      <c r="E6" s="18">
        <f>D6*(1+E5)</f>
        <v>5230027646.8736</v>
      </c>
      <c r="F6" s="18">
        <f>E6*(1+F5)</f>
        <v>4622044378.086363</v>
      </c>
    </row>
    <row r="7" spans="1:6" x14ac:dyDescent="0.25">
      <c r="A7" t="s">
        <v>5</v>
      </c>
      <c r="B7" s="10">
        <f>Assumptions!B7</f>
        <v>0.1631644421577854</v>
      </c>
      <c r="C7" s="10">
        <f>Assumptions!B7</f>
        <v>0.1631644421577854</v>
      </c>
      <c r="D7" s="10">
        <f>Assumptions!B7</f>
        <v>0.1631644421577854</v>
      </c>
      <c r="E7" s="10">
        <f>Assumptions!B7</f>
        <v>0.1631644421577854</v>
      </c>
      <c r="F7" s="10">
        <f>Assumptions!B7</f>
        <v>0.1631644421577854</v>
      </c>
    </row>
    <row r="8" spans="1:6" x14ac:dyDescent="0.25">
      <c r="A8" t="s">
        <v>44</v>
      </c>
      <c r="B8" s="18">
        <f>B6*B7</f>
        <v>1236343432.0347352</v>
      </c>
      <c r="C8" s="18">
        <f>C6*C7</f>
        <v>1092620268.0469797</v>
      </c>
      <c r="D8" s="18">
        <f>D6*D7</f>
        <v>965604717.2769009</v>
      </c>
      <c r="E8" s="18">
        <f>E6*E7</f>
        <v>853354543.471926</v>
      </c>
      <c r="F8" s="18">
        <f>F6*F7</f>
        <v>754153292.5789895</v>
      </c>
    </row>
    <row r="9" spans="1:6" x14ac:dyDescent="0.25">
      <c r="A9" t="s">
        <v>45</v>
      </c>
      <c r="B9" s="18">
        <f>B8*(1-Assumptions!B8)</f>
        <v>980717752.2502174</v>
      </c>
      <c r="C9" s="18">
        <f>C8*(1-Assumptions!B8)</f>
        <v>866710709.643628</v>
      </c>
      <c r="D9" s="18">
        <f>D8*(1-Assumptions!B8)</f>
        <v>765956823.4462892</v>
      </c>
      <c r="E9" s="18">
        <f>E8*(1-Assumptions!B8)</f>
        <v>676915433.0920447</v>
      </c>
      <c r="F9" s="18">
        <f>F8*(1-Assumptions!B8)</f>
        <v>598224977.6123595</v>
      </c>
    </row>
    <row r="10" spans="1:6" x14ac:dyDescent="0.25">
      <c r="A10" t="s">
        <v>46</v>
      </c>
      <c r="B10" s="18">
        <f>B6*Assumptions!B9</f>
        <v>111546967.23429559</v>
      </c>
      <c r="C10" s="18">
        <f>C6*Assumptions!B9</f>
        <v>98579791.0850547</v>
      </c>
      <c r="D10" s="18">
        <f>D6*Assumptions!B9</f>
        <v>87120030.70384863</v>
      </c>
      <c r="E10" s="18">
        <f>E6*Assumptions!B9</f>
        <v>76992451.15351237</v>
      </c>
      <c r="F10" s="18">
        <f>F6*Assumptions!B9</f>
        <v>68042188.30887212</v>
      </c>
    </row>
    <row r="11" spans="1:6" x14ac:dyDescent="0.25">
      <c r="A11" t="s">
        <v>47</v>
      </c>
      <c r="B11" s="18">
        <f>-B6*Assumptions!B10</f>
        <v>-113877786.9361269</v>
      </c>
      <c r="C11" s="18">
        <f>-C6*Assumptions!B10</f>
        <v>-100639656.31456687</v>
      </c>
      <c r="D11" s="18">
        <f>-D6*Assumptions!B10</f>
        <v>-88940439.53273383</v>
      </c>
      <c r="E11" s="18">
        <f>-E6*Assumptions!B10</f>
        <v>-78601240.04746732</v>
      </c>
      <c r="F11" s="18">
        <f>-F6*Assumptions!B10</f>
        <v>-69463957.78408268</v>
      </c>
    </row>
    <row r="12" spans="1:6" x14ac:dyDescent="0.25">
      <c r="A12" t="s">
        <v>48</v>
      </c>
      <c r="B12" s="18">
        <f>-(B6-Assumptions!B29)*Assumptions!B11</f>
        <v>-476325403.87257993</v>
      </c>
      <c r="C12" s="18">
        <f>-(C6-B6)*Assumptions!B11</f>
        <v>-420953253.7414108</v>
      </c>
      <c r="D12" s="18">
        <f>-(D6-C6)*Assumptions!B11</f>
        <v>-372018037.23843145</v>
      </c>
      <c r="E12" s="18">
        <f>-(E6-D6)*Assumptions!B11</f>
        <v>-328771469.99260813</v>
      </c>
      <c r="F12" s="18">
        <f>-(F6-E6)*Assumptions!B11</f>
        <v>-290552254.6258256</v>
      </c>
    </row>
    <row r="13" spans="1:6" x14ac:dyDescent="0.25">
      <c r="A13" s="19" t="s">
        <v>49</v>
      </c>
      <c r="B13" s="20">
        <f>B9+B10+B11+B12</f>
        <v>502061528.67580616</v>
      </c>
      <c r="C13" s="20">
        <f>C9+C10+C11+C12</f>
        <v>443697590.6727051</v>
      </c>
      <c r="D13" s="20">
        <f>D9+D10+D11+D12</f>
        <v>392118377.37897253</v>
      </c>
      <c r="E13" s="20">
        <f>E9+E10+E11+E12</f>
        <v>346535174.2054816</v>
      </c>
      <c r="F13" s="20">
        <f>F9+F10+F11+F12</f>
        <v>306250953.5113234</v>
      </c>
    </row>
    <row r="14" spans="1:6" x14ac:dyDescent="0.25">
      <c r="A14" t="s">
        <v>50</v>
      </c>
      <c r="B14" s="21">
        <f>1/(1+Assumptions!$B$26)^(1-0.5*Assumptions!$B$32)</f>
        <v>0.9612669728335567</v>
      </c>
      <c r="C14" s="21">
        <f>1/(1+Assumptions!$B$26)^(2-0.5*Assumptions!$B$32)</f>
        <v>0.8882435515580516</v>
      </c>
      <c r="D14" s="21">
        <f>1/(1+Assumptions!$B$26)^(3-0.5*Assumptions!$B$32)</f>
        <v>0.8207674134052165</v>
      </c>
      <c r="E14" s="21">
        <f>1/(1+Assumptions!$B$26)^(4-0.5*Assumptions!$B$32)</f>
        <v>0.7584171545363169</v>
      </c>
      <c r="F14" s="21">
        <f>1/(1+Assumptions!$B$26)^(5-0.5*Assumptions!$B$32)</f>
        <v>0.7008033833952743</v>
      </c>
    </row>
    <row r="15" spans="1:6" x14ac:dyDescent="0.25">
      <c r="A15" s="19" t="s">
        <v>51</v>
      </c>
      <c r="B15" s="20">
        <f>B13*B14</f>
        <v>482615165.8463801</v>
      </c>
      <c r="C15" s="20">
        <f>C13*C14</f>
        <v>394111523.7568742</v>
      </c>
      <c r="D15" s="20">
        <f>D13*D14</f>
        <v>321837986.34998983</v>
      </c>
      <c r="E15" s="20">
        <f>E13*E14</f>
        <v>262818220.76766822</v>
      </c>
      <c r="F15" s="20">
        <f>F13*F14</f>
        <v>214621704.3887643</v>
      </c>
    </row>
    <row r="17" spans="1:2" x14ac:dyDescent="0.25">
      <c r="A17" s="22" t="s">
        <v>52</v>
      </c>
      <c r="B17" s="23">
        <f>SUM(B15:F15)</f>
        <v>1676004601.1096768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306250953.5113234</v>
      </c>
    </row>
    <row r="5" spans="1:2" x14ac:dyDescent="0.25">
      <c r="A5" t="s">
        <v>56</v>
      </c>
      <c r="B5" s="18">
        <f>IF(Assumptions!$B$33=0,B4,B4-Forecast!F11-Forecast!F10-Forecast!F12)</f>
        <v>598224977.6123595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0.30409543131609035</v>
      </c>
    </row>
    <row r="7" spans="1:2" x14ac:dyDescent="0.25">
      <c r="A7" t="s">
        <v>58</v>
      </c>
      <c r="B7" s="18">
        <f>-MAX(Forecast!F9,0)*B6</f>
        <v>-181917482.59108895</v>
      </c>
    </row>
    <row r="8" spans="1:2" x14ac:dyDescent="0.25">
      <c r="A8" t="s">
        <v>59</v>
      </c>
      <c r="B8" s="18">
        <f>IF(OR(Assumptions!$B$33=0,Assumptions!B12&lt;=0),B5,MAX(B5+B7,0))</f>
        <v>416307495.0212706</v>
      </c>
    </row>
    <row r="9" spans="1:2" x14ac:dyDescent="0.25">
      <c r="A9" t="s">
        <v>60</v>
      </c>
      <c r="B9" s="18">
        <f>B8*(1+Assumptions!B12)/(Assumptions!B26-Assumptions!B12)</f>
        <v>7458616786.234646</v>
      </c>
    </row>
    <row r="10" spans="1:2" x14ac:dyDescent="0.25">
      <c r="A10" t="s">
        <v>61</v>
      </c>
      <c r="B10" s="18">
        <f>B9/(1+Assumptions!B26)^(5-0.5*Assumptions!B32)</f>
        <v>5227023879.242027</v>
      </c>
    </row>
    <row r="11" spans="1:2" x14ac:dyDescent="0.25">
      <c r="A11" t="s">
        <v>62</v>
      </c>
      <c r="B11" s="18">
        <f>Forecast!B17+B10</f>
        <v>6903028480.351704</v>
      </c>
    </row>
    <row r="12" spans="1:2" x14ac:dyDescent="0.25">
      <c r="A12" t="s">
        <v>63</v>
      </c>
      <c r="B12" s="18">
        <f>-Assumptions!B30</f>
        <v>-7285000000</v>
      </c>
    </row>
    <row r="13" spans="1:2" x14ac:dyDescent="0.25">
      <c r="A13" t="s">
        <v>64</v>
      </c>
      <c r="B13" s="18">
        <f>B11+B12</f>
        <v>-381971519.64829636</v>
      </c>
    </row>
    <row r="14" spans="1:2" x14ac:dyDescent="0.25">
      <c r="A14" s="19" t="s">
        <v>65</v>
      </c>
      <c r="B14" s="24">
        <f>B13/Assumptions!B31</f>
        <v>-1.440314930800514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822195480.8878616</v>
      </c>
    </row>
    <row r="18" spans="1:2" x14ac:dyDescent="0.25">
      <c r="A18" t="s">
        <v>60</v>
      </c>
      <c r="B18" s="18">
        <f>B17*Assumptions!B13</f>
        <v>14044415252.301823</v>
      </c>
    </row>
    <row r="19" spans="1:2" x14ac:dyDescent="0.25">
      <c r="A19" t="s">
        <v>61</v>
      </c>
      <c r="B19" s="18">
        <f>B18/(1+Assumptions!B26)^(5-0.5*Assumptions!B32)</f>
        <v>9842373726.621311</v>
      </c>
    </row>
    <row r="20" spans="1:2" x14ac:dyDescent="0.25">
      <c r="A20" t="s">
        <v>62</v>
      </c>
      <c r="B20" s="18">
        <f>Forecast!B17+B19</f>
        <v>11518378327.730988</v>
      </c>
    </row>
    <row r="21" spans="1:2" x14ac:dyDescent="0.25">
      <c r="A21" t="s">
        <v>63</v>
      </c>
      <c r="B21" s="18">
        <f>-Assumptions!B30</f>
        <v>-7285000000</v>
      </c>
    </row>
    <row r="22" spans="1:2" x14ac:dyDescent="0.25">
      <c r="A22" t="s">
        <v>64</v>
      </c>
      <c r="B22" s="18">
        <f>B20+B21</f>
        <v>4233378327.7309875</v>
      </c>
    </row>
    <row r="23" spans="1:2" x14ac:dyDescent="0.25">
      <c r="A23" s="19" t="s">
        <v>65</v>
      </c>
      <c r="B23" s="25">
        <f>B22/Assumptions!B31</f>
        <v>15.962965036693015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80.24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-1.440314930800514</v>
      </c>
    </row>
    <row r="29" spans="1:2" x14ac:dyDescent="0.25">
      <c r="A29" s="19" t="s">
        <v>73</v>
      </c>
      <c r="B29" s="12">
        <f>B28/B26-1</f>
        <v>-1.0179500863758788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0.062211</v>
      </c>
      <c r="B5" s="31">
        <v>7.155367146060564</v>
      </c>
      <c r="C5" s="31">
        <v>7.293547171668402</v>
      </c>
      <c r="D5" s="31">
        <v>7.431727197276226</v>
      </c>
      <c r="E5" s="31">
        <v>7.569907222884058</v>
      </c>
      <c r="F5" s="31">
        <v>7.708087248491881</v>
      </c>
    </row>
    <row r="6" spans="1:6" x14ac:dyDescent="0.25">
      <c r="A6" s="30">
        <v>0.072211</v>
      </c>
      <c r="B6" s="31">
        <v>2.143207166663144</v>
      </c>
      <c r="C6" s="31">
        <v>2.2573362961104877</v>
      </c>
      <c r="D6" s="31">
        <v>2.3714654255578242</v>
      </c>
      <c r="E6" s="31">
        <v>2.485594555005168</v>
      </c>
      <c r="F6" s="31">
        <v>2.5997236844525005</v>
      </c>
    </row>
    <row r="7" spans="1:6" x14ac:dyDescent="0.25">
      <c r="A7" s="30">
        <v>0.082211</v>
      </c>
      <c r="B7" s="31">
        <v>-1.6325936886209529</v>
      </c>
      <c r="C7" s="31">
        <v>-1.5364485459957151</v>
      </c>
      <c r="D7" s="32">
        <v>-1.4403034033704847</v>
      </c>
      <c r="E7" s="31">
        <v>-1.3441582607452507</v>
      </c>
      <c r="F7" s="31">
        <v>-1.248013118120013</v>
      </c>
    </row>
    <row r="8" spans="1:6" x14ac:dyDescent="0.25">
      <c r="A8" s="30">
        <v>0.092211</v>
      </c>
      <c r="B8" s="31">
        <v>-4.575241142155876</v>
      </c>
      <c r="C8" s="31">
        <v>-4.492998162334221</v>
      </c>
      <c r="D8" s="31">
        <v>-4.410755182512576</v>
      </c>
      <c r="E8" s="31">
        <v>-4.328512202690924</v>
      </c>
      <c r="F8" s="31">
        <v>-4.246269222869276</v>
      </c>
    </row>
    <row r="9" spans="1:6" x14ac:dyDescent="0.25">
      <c r="A9" s="30">
        <v>0.102211</v>
      </c>
      <c r="B9" s="31">
        <v>-6.930086691775851</v>
      </c>
      <c r="C9" s="31">
        <v>-6.8588715972356455</v>
      </c>
      <c r="D9" s="31">
        <v>-6.787656502695447</v>
      </c>
      <c r="E9" s="31">
        <v>-6.716441408155242</v>
      </c>
      <c r="F9" s="31">
        <v>-6.645226313615043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8574000000</v>
      </c>
      <c r="C5" s="18">
        <v>11130000000</v>
      </c>
      <c r="D5" s="18">
        <v>10978000000</v>
      </c>
      <c r="E5" s="8" t="s">
        <v>83</v>
      </c>
    </row>
    <row r="6" spans="1:5" x14ac:dyDescent="0.25">
      <c r="A6" t="s">
        <v>44</v>
      </c>
      <c r="B6" s="18">
        <v>1509000000</v>
      </c>
      <c r="C6" s="18">
        <v>1936000000</v>
      </c>
      <c r="D6" s="18">
        <v>1532000000</v>
      </c>
      <c r="E6" s="8" t="s">
        <v>84</v>
      </c>
    </row>
    <row r="7" spans="1:5" x14ac:dyDescent="0.25">
      <c r="A7" t="s">
        <v>85</v>
      </c>
      <c r="B7" s="18">
        <v>139000000</v>
      </c>
      <c r="C7" s="18">
        <v>157000000</v>
      </c>
      <c r="D7" s="18">
        <v>152000000</v>
      </c>
      <c r="E7" s="8" t="s">
        <v>86</v>
      </c>
    </row>
    <row r="8" spans="1:5" x14ac:dyDescent="0.25">
      <c r="A8" t="s">
        <v>87</v>
      </c>
      <c r="B8" s="18">
        <v>0</v>
      </c>
      <c r="C8" s="18">
        <v>0</v>
      </c>
      <c r="D8" s="18">
        <v>0</v>
      </c>
      <c r="E8" s="8" t="s">
        <v>84</v>
      </c>
    </row>
    <row r="9" spans="1:5" x14ac:dyDescent="0.25">
      <c r="A9" t="s">
        <v>88</v>
      </c>
      <c r="B9" s="18">
        <v>2443000000</v>
      </c>
      <c r="C9" s="18">
        <v>0</v>
      </c>
      <c r="D9" s="18">
        <v>-37000000</v>
      </c>
      <c r="E9" s="8" t="s">
        <v>89</v>
      </c>
    </row>
    <row r="10" spans="1:5" x14ac:dyDescent="0.25">
      <c r="A10" t="s">
        <v>90</v>
      </c>
      <c r="B10" s="18">
        <v>13689000000</v>
      </c>
      <c r="C10" s="18">
        <v>11529000000</v>
      </c>
      <c r="D10" s="18">
        <v>14100000000</v>
      </c>
      <c r="E10" s="8" t="s">
        <v>91</v>
      </c>
    </row>
    <row r="11" spans="1:5" x14ac:dyDescent="0.25">
      <c r="A11" t="s">
        <v>92</v>
      </c>
      <c r="B11" s="18">
        <v>6404000000</v>
      </c>
      <c r="C11" s="18">
        <v>6929000000</v>
      </c>
      <c r="D11" s="18">
        <v>8207000000</v>
      </c>
      <c r="E11" s="8" t="s">
        <v>93</v>
      </c>
    </row>
    <row r="12" spans="1:5" x14ac:dyDescent="0.25">
      <c r="A12" t="s">
        <v>32</v>
      </c>
      <c r="B12" s="34">
        <v>265200000</v>
      </c>
      <c r="C12" s="34">
        <v>267425797</v>
      </c>
      <c r="D12" s="34">
        <v>277500000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54" customHeight="1" spans="1:5" x14ac:dyDescent="0.25">
      <c r="A20" s="35" t="s">
        <v>100</v>
      </c>
      <c r="B20" s="35"/>
      <c r="C20" s="35"/>
      <c r="D20" s="35"/>
      <c r="E20" s="35"/>
    </row>
    <row r="21" ht="22" customHeight="1" spans="1:5" x14ac:dyDescent="0.25">
      <c r="A21" s="35" t="s">
        <v>101</v>
      </c>
      <c r="B21" s="35"/>
      <c r="C21" s="35"/>
      <c r="D21" s="35"/>
      <c r="E21" s="35"/>
    </row>
    <row r="23" spans="1:1" x14ac:dyDescent="0.25">
      <c r="A23" s="36" t="s">
        <v>102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