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<sst xmlns="http://schemas.openxmlformats.org/spreadsheetml/2006/main" count="120" uniqueCount="107">
  <si>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Northrop Grumman Corporation (NOC)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</si>
  <si>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</si>
  <si>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</si>
  <si>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</si>
  <si>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</si>
  <si>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</si>
  <si>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</si>
  <si>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</si>
  <si>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</si>
  <si>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</si>
  <si>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</si>
  <si>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</si>
  <si>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</si>
  <si>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</si>
  <si>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</si>
  <si>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</si>
  <si>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</si>
  <si>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</si>
  <si>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</si>
  <si>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</si>
  <si>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</si>
  <si>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Clamped from a reported -0.112</t>
  </si>
  <si>
    <t>Cost of equity</t>
  </si>
  <si>
    <t>Cost of debt</t>
  </si>
  <si>
    <t>Risk-free + 70bp, the spread for a A+ rating at 6.4x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</si>
  <si>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</si>
  <si>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</si>
  <si>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</si>
  <si>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</si>
  <si>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</si>
  <si>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</si>
  <si>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</si>
  <si>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</si>
  <si>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</si>
  <si>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</si>
  <si>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</si>
  <si>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</si>
  <si>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</si>
  <si>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</si>
  <si>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</si>
  <si>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</si>
  <si>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</si>
  <si>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</si>
  <si>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</si>
  <si>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</si>
  <si>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</si>
  <si>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</si>
  <si>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</si>
  <si>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</si>
  <si>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</si>
  <si>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</si>
  <si>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</si>
  <si>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</si>
  <si>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</si>
  <si>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</si>
  <si>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</si>
  <si>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</si>
  <si>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</si>
  <si>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</si>
  <si>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</si>
  <si>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</si>
  <si>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</si>
  <si>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</si>
  <si>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</si>
  <si>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</si>
  <si>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</si>
  <si>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</si>
  <si>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</si>
  <si>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</si>
  <si>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</si>
  <si>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</si>
  <si>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</si>
  <si>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</si>
  <si>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</si>
  <si>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</si>
  <si>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</si>
  <si>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</si>
  <si>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</si>
  <si>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</si>
  <si>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</si>
  <si>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</si>
  <si>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</si>
  <si>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</si>
  <si>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</si>
  <si>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</si>
  <si>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</si>
  <si>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</si>
  <si>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</si>
  <si>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</si>
  <si>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</si>
  <si>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</si>
  <si>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</si>
  <si>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</si>
  <si>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</si>
  <si>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</si>
  <si>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</si>
  <si>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</si>
  <si>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</si>
  <si>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</si>
  <si>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</si>
  <si>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</si>
  <si>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</si>
  <si>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</si>
  <si>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</si>
  <si>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</si>
  <si>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-0.112 is not usable in a cost of equity. Clamped to 0.30.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</si>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</sst>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0.05026383229251086</v>
      </c>
    </row>
    <row r="7" spans="1:2" x14ac:dyDescent="0.25">
      <c r="A7" t="s">
        <v>4</v>
      </c>
      <c r="B7" s="5">
        <v>0.09286747015479342</v>
      </c>
    </row>
    <row r="8" spans="1:2" x14ac:dyDescent="0.25">
      <c r="A8" t="s">
        <v>5</v>
      </c>
      <c r="B8" s="5">
        <v>0.1644660322061931</v>
      </c>
    </row>
    <row r="9" spans="1:2" x14ac:dyDescent="0.25">
      <c r="A9" t="s">
        <v>6</v>
      </c>
      <c r="B9" s="5">
        <v>0.034798234402863254</v>
      </c>
    </row>
    <row r="10" spans="1:3" x14ac:dyDescent="0.25">
      <c r="A10" t="s">
        <v>7</v>
      </c>
      <c r="B10" s="5">
        <v>0.04050174026382605</v>
      </c>
      <c r="C10" s="6" t="s">
        <v>8</v>
      </c>
    </row>
    <row r="11" spans="1:2" x14ac:dyDescent="0.25">
      <c r="A11" t="s">
        <v>9</v>
      </c>
      <c r="B11" s="5">
        <v>0.0002209955653299546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15.963601802503478</v>
      </c>
    </row>
    <row r="14" spans="1:3" x14ac:dyDescent="0.25">
      <c r="A14" t="s">
        <v>12</v>
      </c>
      <c r="B14" s="5">
        <v>0.1116415110789408</v>
      </c>
      <c r="C14" s="6" t="s">
        <v>13</v>
      </c>
    </row>
    <row r="15" spans="1:3" x14ac:dyDescent="0.25">
      <c r="A15" t="s">
        <v>14</v>
      </c>
      <c r="B15" s="5">
        <v>0.034798234402863254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0.3</v>
      </c>
      <c r="C19" s="6" t="s">
        <v>21</v>
      </c>
    </row>
    <row r="20" spans="1:2" x14ac:dyDescent="0.25">
      <c r="A20" t="s">
        <v>22</v>
      </c>
      <c r="B20" s="9">
        <f>B17+B19*B18</f>
        <v>0.061630000000000004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79206637568</v>
      </c>
    </row>
    <row r="23" spans="1:2" x14ac:dyDescent="0.25">
      <c r="A23" t="s">
        <v>26</v>
      </c>
      <c r="B23" s="10">
        <v>17019000000</v>
      </c>
    </row>
    <row r="24" spans="1:2" x14ac:dyDescent="0.25">
      <c r="A24" t="s">
        <v>27</v>
      </c>
      <c r="B24" s="9">
        <f>B22/(B22+B23)</f>
        <v>0.8231344532482505</v>
      </c>
    </row>
    <row r="25" spans="1:2" x14ac:dyDescent="0.25">
      <c r="A25" t="s">
        <v>28</v>
      </c>
      <c r="B25" s="9">
        <f>1-B24</f>
        <v>0.17686554675174948</v>
      </c>
    </row>
    <row r="26" spans="1:2" x14ac:dyDescent="0.25">
      <c r="A26" t="s">
        <v>29</v>
      </c>
      <c r="B26" s="11">
        <f>B24*B20+B25*B21*(1-B8)</f>
        <v>0.05899643135780365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41954000000</v>
      </c>
      <c r="C29" s="6" t="s">
        <v>32</v>
      </c>
    </row>
    <row r="30" spans="1:2" x14ac:dyDescent="0.25">
      <c r="A30" t="s">
        <v>33</v>
      </c>
      <c r="B30" s="10">
        <v>12616000000</v>
      </c>
    </row>
    <row r="31" spans="1:2" x14ac:dyDescent="0.25">
      <c r="A31" t="s">
        <v>34</v>
      </c>
      <c r="B31" s="12">
        <v>143800000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0.05026383229251086</v>
      </c>
      <c r="C5" s="5">
        <v>0.06470870275192109</v>
      </c>
      <c r="D5" s="5">
        <v>0.059745114907930955</v>
      </c>
      <c r="E5" s="5">
        <v>0.054781527063940814</v>
      </c>
      <c r="F5" s="5">
        <v>0.04981793921995068</v>
      </c>
      <c r="G5" s="5">
        <v>0.04485435137596054</v>
      </c>
      <c r="H5" s="5">
        <v>0.03989076353197041</v>
      </c>
      <c r="I5" s="5">
        <v>0.034927175687980275</v>
      </c>
      <c r="J5" s="5">
        <v>0.029963587843990135</v>
      </c>
      <c r="K5" s="5">
        <v>0.025</v>
      </c>
    </row>
    <row r="6" spans="1:11" x14ac:dyDescent="0.25">
      <c r="A6" t="s">
        <v>50</v>
      </c>
      <c r="B6" s="18">
        <f>Assumptions!B29*(1+B5)</f>
        <v>44062768820</v>
      </c>
      <c r="C6" s="18">
        <f>B6*(1+C5)</f>
        <v>46914013430</v>
      </c>
      <c r="D6" s="18">
        <f>C6*(1+D5)</f>
        <v>49716896553.167564</v>
      </c>
      <c r="E6" s="18">
        <f>D6*(1+E5)</f>
        <v>52440464067.230064</v>
      </c>
      <c r="F6" s="18">
        <f>E6*(1+F5)</f>
        <v>55052939918.79734</v>
      </c>
      <c r="G6" s="18">
        <f>F6*(1+G5)</f>
        <v>57522303830.19472</v>
      </c>
      <c r="H6" s="18">
        <f>G6*(1+H5)</f>
        <v>59816912450.09917</v>
      </c>
      <c r="I6" s="18">
        <f>H6*(1+I5)</f>
        <v>61906148260.356316</v>
      </c>
      <c r="J6" s="18">
        <f>I6*(1+J5)</f>
        <v>63761078571.83858</v>
      </c>
      <c r="K6" s="18">
        <f>J6*(1+K5)</f>
        <v>65355105536.13454</v>
      </c>
    </row>
    <row r="7" spans="1:11" x14ac:dyDescent="0.25">
      <c r="A7" t="s">
        <v>4</v>
      </c>
      <c r="B7" s="9">
        <f>Assumptions!B7</f>
        <v>0.09286747015479342</v>
      </c>
      <c r="C7" s="9">
        <f>Assumptions!B7</f>
        <v>0.09286747015479342</v>
      </c>
      <c r="D7" s="9">
        <f>Assumptions!B7</f>
        <v>0.09286747015479342</v>
      </c>
      <c r="E7" s="9">
        <f>Assumptions!B7</f>
        <v>0.09286747015479342</v>
      </c>
      <c r="F7" s="9">
        <f>Assumptions!B7</f>
        <v>0.09286747015479342</v>
      </c>
      <c r="G7" s="9">
        <f>Assumptions!B7</f>
        <v>0.09286747015479342</v>
      </c>
      <c r="H7" s="9">
        <f>Assumptions!B7</f>
        <v>0.09286747015479342</v>
      </c>
      <c r="I7" s="9">
        <f>Assumptions!B7</f>
        <v>0.09286747015479342</v>
      </c>
      <c r="J7" s="9">
        <f>Assumptions!B7</f>
        <v>0.09286747015479342</v>
      </c>
      <c r="K7" s="9">
        <f>Assumptions!B7</f>
        <v>0.09286747015479342</v>
      </c>
    </row>
    <row r="8" spans="1:11" x14ac:dyDescent="0.25">
      <c r="A8" t="s">
        <v>51</v>
      </c>
      <c r="B8" s="18">
        <f>B6*B7</f>
        <v>4091997868.3289123</v>
      </c>
      <c r="C8" s="18">
        <f>C6*C7</f>
        <v>4356785742.052103</v>
      </c>
      <c r="D8" s="18">
        <f>D6*D7</f>
        <v>4617082406.8402405</v>
      </c>
      <c r="E8" s="18">
        <f>E6*E7</f>
        <v>4870013231.667005</v>
      </c>
      <c r="F8" s="18">
        <f>F6*F7</f>
        <v>5112627254.842547</v>
      </c>
      <c r="G8" s="18">
        <f>G6*G7</f>
        <v>5341950834.185567</v>
      </c>
      <c r="H8" s="18">
        <f>H6*H7</f>
        <v>5555045331.711475</v>
      </c>
      <c r="I8" s="18">
        <f>I6*I7</f>
        <v>5749067375.966857</v>
      </c>
      <c r="J8" s="18">
        <f>J6*J7</f>
        <v>5921330061.307657</v>
      </c>
      <c r="K8" s="18">
        <f>K6*K7</f>
        <v>6069363312.840348</v>
      </c>
    </row>
    <row r="9" spans="1:11" x14ac:dyDescent="0.25">
      <c r="A9" t="s">
        <v>52</v>
      </c>
      <c r="B9" s="18">
        <f>B8*(1-Assumptions!B8)</f>
        <v>3419003215.128656</v>
      </c>
      <c r="C9" s="18">
        <f>C8*(1-Assumptions!B8)</f>
        <v>3640242477.8842793</v>
      </c>
      <c r="D9" s="18">
        <f>D8*(1-Assumptions!B8)</f>
        <v>3857729183.018206</v>
      </c>
      <c r="E9" s="18">
        <f>E8*(1-Assumptions!B8)</f>
        <v>4069061478.6630726</v>
      </c>
      <c r="F9" s="18">
        <f>F8*(1-Assumptions!B8)</f>
        <v>4271773736.0893526</v>
      </c>
      <c r="G9" s="18">
        <f>G8*(1-Assumptions!B8)</f>
        <v>4463381376.246504</v>
      </c>
      <c r="H9" s="18">
        <f>H8*(1-Assumptions!B8)</f>
        <v>4641429067.279353</v>
      </c>
      <c r="I9" s="18">
        <f>I8*(1-Assumptions!B8)</f>
        <v>4803541075.755518</v>
      </c>
      <c r="J9" s="18">
        <f>J8*(1-Assumptions!B8)</f>
        <v>4947472400.741133</v>
      </c>
      <c r="K9" s="18">
        <f>K8*(1-Assumptions!B8)</f>
        <v>5071159210.759661</v>
      </c>
    </row>
    <row r="10" spans="1:11" x14ac:dyDescent="0.25">
      <c r="A10" t="s">
        <v>53</v>
      </c>
      <c r="B10" s="18">
        <f>B6*Assumptions!B9</f>
        <v>1533306557.8375342</v>
      </c>
      <c r="C10" s="18">
        <f>C6*Assumptions!B9</f>
        <v>1632524836.1162148</v>
      </c>
      <c r="D10" s="18">
        <f>D6*Assumptions!B9</f>
        <v>1730060220.040029</v>
      </c>
      <c r="E10" s="18">
        <f>E6*Assumptions!B9</f>
        <v>1824835560.8063996</v>
      </c>
      <c r="F10" s="18">
        <f>F6*Assumptions!B9</f>
        <v>1915745107.8610573</v>
      </c>
      <c r="G10" s="18">
        <f>G6*Assumptions!B9</f>
        <v>2001674612.0758345</v>
      </c>
      <c r="H10" s="18">
        <f>H6*Assumptions!B9</f>
        <v>2081522940.6941001</v>
      </c>
      <c r="I10" s="18">
        <f>I6*Assumptions!B9</f>
        <v>2154224658.1422844</v>
      </c>
      <c r="J10" s="18">
        <f>J6*Assumptions!B9</f>
        <v>2218772957.92222</v>
      </c>
      <c r="K10" s="18">
        <f>K6*Assumptions!B9</f>
        <v>2274242281.8702755</v>
      </c>
    </row>
    <row r="11" spans="1:11" x14ac:dyDescent="0.25">
      <c r="A11" t="s">
        <v>54</v>
      </c>
      <c r="B11" s="18">
        <f>-B6*B19</f>
        <v>-1784618818.052653</v>
      </c>
      <c r="C11" s="18">
        <f>-C6*C19</f>
        <v>-1960942402.6420865</v>
      </c>
      <c r="D11" s="18">
        <f>-D6*D19</f>
        <v>-2142577432.711643</v>
      </c>
      <c r="E11" s="18">
        <f>-E6*E19</f>
        <v>-2327961617.00976</v>
      </c>
      <c r="F11" s="18">
        <f>-F6*F19</f>
        <v>-2515334532.0193896</v>
      </c>
      <c r="G11" s="18">
        <f>-G6*G19</f>
        <v>-2702759436.406485</v>
      </c>
      <c r="H11" s="18">
        <f>-H6*H19</f>
        <v>-2888151678.473985</v>
      </c>
      <c r="I11" s="18">
        <f>-I6*I19</f>
        <v>-3069313313.226035</v>
      </c>
      <c r="J11" s="18">
        <f>-J6*J19</f>
        <v>-3243973282.17184</v>
      </c>
      <c r="K11" s="18">
        <f>-K6*K19</f>
        <v>-3409832252.3369703</v>
      </c>
    </row>
    <row r="12" spans="1:11" x14ac:dyDescent="0.25">
      <c r="A12" t="s">
        <v>55</v>
      </c>
      <c r="B12" s="18">
        <f>-(B6-Assumptions!B29)*Assumptions!B11</f>
        <v>-466028.5575260813</v>
      </c>
      <c r="C12" s="18">
        <f>-(C6-B6)*Assumptions!B11</f>
        <v>-630112.4144809359</v>
      </c>
      <c r="D12" s="18">
        <f>-(D6-C6)*Assumptions!B11</f>
        <v>-619424.7403582047</v>
      </c>
      <c r="E12" s="18">
        <f>-(E6-D6)*Assumptions!B11</f>
        <v>-601896.3424845412</v>
      </c>
      <c r="F12" s="18">
        <f>-(F6-E6)*Assumptions!B11</f>
        <v>-577345.5777279647</v>
      </c>
      <c r="G12" s="18">
        <f>-(G6-F6)*Assumptions!B11</f>
        <v>-545718.4736046513</v>
      </c>
      <c r="H12" s="18">
        <f>-(H6-G6)*Assumptions!B11</f>
        <v>-507098.32916677074</v>
      </c>
      <c r="I12" s="18">
        <f>-(I6-H6)*Assumptions!B11</f>
        <v>-461711.84899536433</v>
      </c>
      <c r="J12" s="18">
        <f>-(J6-I6)*Assumptions!B11</f>
        <v>-409931.3728336912</v>
      </c>
      <c r="K12" s="18">
        <f>-(K6-J6)*Assumptions!B11</f>
        <v>-352272.89012577693</v>
      </c>
    </row>
    <row r="13" spans="1:11" x14ac:dyDescent="0.25">
      <c r="A13" s="19" t="s">
        <v>56</v>
      </c>
      <c r="B13" s="20">
        <f>B9+B10+B11+B12</f>
        <v>3167224926.356011</v>
      </c>
      <c r="C13" s="20">
        <f>C9+C10+C11+C12</f>
        <v>3311194798.9439263</v>
      </c>
      <c r="D13" s="20">
        <f>D9+D10+D11+D12</f>
        <v>3444592545.6062336</v>
      </c>
      <c r="E13" s="20">
        <f>E9+E10+E11+E12</f>
        <v>3565333526.1172276</v>
      </c>
      <c r="F13" s="20">
        <f>F9+F10+F11+F12</f>
        <v>3671606966.3532925</v>
      </c>
      <c r="G13" s="20">
        <f>G9+G10+G11+G12</f>
        <v>3761750833.4422483</v>
      </c>
      <c r="H13" s="20">
        <f>H9+H10+H11+H12</f>
        <v>3834293231.1703014</v>
      </c>
      <c r="I13" s="20">
        <f>I9+I10+I11+I12</f>
        <v>3887990708.822772</v>
      </c>
      <c r="J13" s="20">
        <f>J9+J10+J11+J12</f>
        <v>3921862145.118679</v>
      </c>
      <c r="K13" s="20">
        <f>K9+K10+K11+K12</f>
        <v>3935216967.40284</v>
      </c>
    </row>
    <row r="14" spans="1:11" x14ac:dyDescent="0.25">
      <c r="A14" t="s">
        <v>57</v>
      </c>
      <c r="B14" s="21">
        <f>1/(1+Assumptions!$B$26)^(1-0.5*Assumptions!$B$32)</f>
        <v>0.9717459777935277</v>
      </c>
      <c r="C14" s="21">
        <f>1/(1+Assumptions!$B$26)^(2-0.5*Assumptions!$B$32)</f>
        <v>0.9176102477962017</v>
      </c>
      <c r="D14" s="21">
        <f>1/(1+Assumptions!$B$26)^(3-0.5*Assumptions!$B$32)</f>
        <v>0.8664904060343979</v>
      </c>
      <c r="E14" s="21">
        <f>1/(1+Assumptions!$B$26)^(4-0.5*Assumptions!$B$32)</f>
        <v>0.8182184381144871</v>
      </c>
      <c r="F14" s="21">
        <f>1/(1+Assumptions!$B$26)^(5-0.5*Assumptions!$B$32)</f>
        <v>0.772635689683486</v>
      </c>
      <c r="G14" s="21">
        <f>1/(1+Assumptions!$B$26)^(6-0.5*Assumptions!$B$32)</f>
        <v>0.7295923449834885</v>
      </c>
      <c r="H14" s="21">
        <f>1/(1+Assumptions!$B$26)^(7-0.5*Assumptions!$B$32)</f>
        <v>0.6889469344557033</v>
      </c>
      <c r="I14" s="21">
        <f>1/(1+Assumptions!$B$26)^(8-0.5*Assumptions!$B$32)</f>
        <v>0.6505658697757485</v>
      </c>
      <c r="J14" s="21">
        <f>1/(1+Assumptions!$B$26)^(9-0.5*Assumptions!$B$32)</f>
        <v>0.6143230047920165</v>
      </c>
      <c r="K14" s="21">
        <f>1/(1+Assumptions!$B$26)^(10-0.5*Assumptions!$B$32)</f>
        <v>0.5800992209240551</v>
      </c>
    </row>
    <row r="15" spans="1:11" x14ac:dyDescent="0.25">
      <c r="A15" s="19" t="s">
        <v>58</v>
      </c>
      <c r="B15" s="20">
        <f>B13*B14</f>
        <v>3077738082.9538555</v>
      </c>
      <c r="C15" s="20">
        <f>C13*C14</f>
        <v>3038386279.9604306</v>
      </c>
      <c r="D15" s="20">
        <f>D13*D14</f>
        <v>2984706393.4654055</v>
      </c>
      <c r="E15" s="20">
        <f>E13*E14</f>
        <v>2917221629.096855</v>
      </c>
      <c r="F15" s="20">
        <f>F13*F14</f>
        <v>2836814580.695068</v>
      </c>
      <c r="G15" s="20">
        <f>G13*G14</f>
        <v>2744544611.814722</v>
      </c>
      <c r="H15" s="20">
        <f>H13*H14</f>
        <v>2641624567.4190326</v>
      </c>
      <c r="I15" s="20">
        <f>I13*I14</f>
        <v>2529394057.1653156</v>
      </c>
      <c r="J15" s="20">
        <f>J13*J14</f>
        <v>2409290137.3693705</v>
      </c>
      <c r="K15" s="20">
        <f>K13*K14</f>
        <v>2282816296.95751</v>
      </c>
    </row>
    <row r="17" spans="1:2" x14ac:dyDescent="0.25">
      <c r="A17" s="22" t="s">
        <v>59</v>
      </c>
      <c r="B17" s="23">
        <f>SUM(B15:K15)</f>
        <v>27462536636.897568</v>
      </c>
    </row>
    <row r="19" spans="1:11" x14ac:dyDescent="0.25">
      <c r="A19" t="s">
        <v>7</v>
      </c>
      <c r="B19" s="9">
        <f>Assumptions!$B$10+($B$20-Assumptions!$B$10)*0/9</f>
        <v>0.04050174026382605</v>
      </c>
      <c r="C19" s="9">
        <f>Assumptions!$B$10+($B$20-Assumptions!$B$10)*1/9</f>
        <v>0.04179864947107951</v>
      </c>
      <c r="D19" s="9">
        <f>Assumptions!$B$10+($B$20-Assumptions!$B$10)*2/9</f>
        <v>0.04309555867833297</v>
      </c>
      <c r="E19" s="9">
        <f>Assumptions!$B$10+($B$20-Assumptions!$B$10)*3/9</f>
        <v>0.04439246788558643</v>
      </c>
      <c r="F19" s="9">
        <f>Assumptions!$B$10+($B$20-Assumptions!$B$10)*4/9</f>
        <v>0.045689377092839885</v>
      </c>
      <c r="G19" s="9">
        <f>Assumptions!$B$10+($B$20-Assumptions!$B$10)*5/9</f>
        <v>0.04698628630009335</v>
      </c>
      <c r="H19" s="9">
        <f>Assumptions!$B$10+($B$20-Assumptions!$B$10)*6/9</f>
        <v>0.048283195507346804</v>
      </c>
      <c r="I19" s="9">
        <f>Assumptions!$B$10+($B$20-Assumptions!$B$10)*7/9</f>
        <v>0.04958010471460026</v>
      </c>
      <c r="J19" s="9">
        <f>Assumptions!$B$10+($B$20-Assumptions!$B$10)*8/9</f>
        <v>0.05087701392185372</v>
      </c>
      <c r="K19" s="9">
        <f>Assumptions!$B$10+($B$20-Assumptions!$B$10)*9/9</f>
        <v>0.05217392312910718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0.05217392312910718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3935216967.40284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5071159210.759661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0.22393104283874038</v>
      </c>
    </row>
    <row r="7" spans="1:2" x14ac:dyDescent="0.25">
      <c r="A7" t="s">
        <v>66</v>
      </c>
      <c r="B7" s="18">
        <f>-MAX(B5,0)*B6</f>
        <v>-1135589970.4666944</v>
      </c>
    </row>
    <row r="8" spans="1:2" x14ac:dyDescent="0.25">
      <c r="A8" t="s">
        <v>67</v>
      </c>
      <c r="B8" s="18">
        <f>IF(OR(Assumptions!$B$33=0,Assumptions!B12&lt;=0),B5,MAX(B5+B7,0))</f>
        <v>3935569240.2929664</v>
      </c>
    </row>
    <row r="9" spans="1:2" x14ac:dyDescent="0.25">
      <c r="A9" t="s">
        <v>68</v>
      </c>
      <c r="B9" s="18">
        <f>B8*(1+Assumptions!B12)/(Assumptions!B26-Assumptions!B12)</f>
        <v>118658291773.15466</v>
      </c>
    </row>
    <row r="10" spans="1:2" x14ac:dyDescent="0.25">
      <c r="A10" t="s">
        <v>69</v>
      </c>
      <c r="B10" s="18">
        <f>B9/(1+Assumptions!B26)^(10-0.5*Assumptions!B32)</f>
        <v>68833582613.78624</v>
      </c>
    </row>
    <row r="11" spans="1:2" x14ac:dyDescent="0.25">
      <c r="A11" t="s">
        <v>70</v>
      </c>
      <c r="B11" s="18">
        <f>Forecast!B17+B10</f>
        <v>96296119250.6838</v>
      </c>
    </row>
    <row r="12" spans="1:2" x14ac:dyDescent="0.25">
      <c r="A12" t="s">
        <v>71</v>
      </c>
      <c r="B12" s="18">
        <f>-Assumptions!B30</f>
        <v>-12616000000</v>
      </c>
    </row>
    <row r="13" spans="1:2" x14ac:dyDescent="0.25">
      <c r="A13" t="s">
        <v>72</v>
      </c>
      <c r="B13" s="18">
        <f>B11+B12</f>
        <v>83680119250.6838</v>
      </c>
    </row>
    <row r="14" spans="1:2" x14ac:dyDescent="0.25">
      <c r="A14" s="19" t="s">
        <v>73</v>
      </c>
      <c r="B14" s="24">
        <f>B13/Assumptions!B31</f>
        <v>581.9201616876481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8343605594.710624</v>
      </c>
    </row>
    <row r="18" spans="1:2" x14ac:dyDescent="0.25">
      <c r="A18" t="s">
        <v>68</v>
      </c>
      <c r="B18" s="18">
        <f>B17*Assumptions!B13</f>
        <v>133193997311.10062</v>
      </c>
    </row>
    <row r="19" spans="1:2" x14ac:dyDescent="0.25">
      <c r="A19" t="s">
        <v>69</v>
      </c>
      <c r="B19" s="18">
        <f>B18/(1+Assumptions!B26)^(10-0.5*Assumptions!B32)</f>
        <v>77265734071.93016</v>
      </c>
    </row>
    <row r="20" spans="1:2" x14ac:dyDescent="0.25">
      <c r="A20" t="s">
        <v>70</v>
      </c>
      <c r="B20" s="18">
        <f>Forecast!B17+B19</f>
        <v>104728270708.82773</v>
      </c>
    </row>
    <row r="21" spans="1:2" x14ac:dyDescent="0.25">
      <c r="A21" t="s">
        <v>71</v>
      </c>
      <c r="B21" s="18">
        <f>-Assumptions!B30</f>
        <v>-12616000000</v>
      </c>
    </row>
    <row r="22" spans="1:2" x14ac:dyDescent="0.25">
      <c r="A22" t="s">
        <v>72</v>
      </c>
      <c r="B22" s="18">
        <f>B20+B21</f>
        <v>92112270708.82773</v>
      </c>
    </row>
    <row r="23" spans="1:2" x14ac:dyDescent="0.25">
      <c r="A23" s="19" t="s">
        <v>73</v>
      </c>
      <c r="B23" s="25">
        <f>B22/Assumptions!B31</f>
        <v>640.5582107707074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557.54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581.9201616876481</v>
      </c>
    </row>
    <row r="29" spans="1:2" x14ac:dyDescent="0.25">
      <c r="A29" s="19" t="s">
        <v>81</v>
      </c>
      <c r="B29" s="11">
        <f>B28/B26-1</f>
        <v>0.0437280942849807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0.038996</v>
      </c>
      <c r="B5" s="31">
        <v>1030.5200652763035</v>
      </c>
      <c r="C5" s="31">
        <v>1207.8881541823814</v>
      </c>
      <c r="D5" s="31">
        <v>1515.177002619539</v>
      </c>
      <c r="E5" s="31">
        <v>2169.0174901971795</v>
      </c>
      <c r="F5" s="31">
        <v>4470.279133208411</v>
      </c>
    </row>
    <row r="6" spans="1:6" x14ac:dyDescent="0.25">
      <c r="A6" s="30">
        <v>0.048996</v>
      </c>
      <c r="B6" s="31">
        <v>701.1100173941712</v>
      </c>
      <c r="C6" s="31">
        <v>763.737434702075</v>
      </c>
      <c r="D6" s="31">
        <v>854.2196668699441</v>
      </c>
      <c r="E6" s="31">
        <v>994.5519877922557</v>
      </c>
      <c r="F6" s="31">
        <v>1238.1604714413336</v>
      </c>
    </row>
    <row r="7" spans="1:6" x14ac:dyDescent="0.25">
      <c r="A7" s="30">
        <v>0.058996</v>
      </c>
      <c r="B7" s="31">
        <v>521.5757643401131</v>
      </c>
      <c r="C7" s="31">
        <v>547.3732484738459</v>
      </c>
      <c r="D7" s="32">
        <v>581.928455730028</v>
      </c>
      <c r="E7" s="31">
        <v>629.7718677901577</v>
      </c>
      <c r="F7" s="31">
        <v>699.2099970754394</v>
      </c>
    </row>
    <row r="8" spans="1:6" x14ac:dyDescent="0.25">
      <c r="A8" s="30">
        <v>0.068996</v>
      </c>
      <c r="B8" s="31">
        <v>408.63934475617134</v>
      </c>
      <c r="C8" s="31">
        <v>419.3243612456728</v>
      </c>
      <c r="D8" s="31">
        <v>433.2913423323459</v>
      </c>
      <c r="E8" s="31">
        <v>451.8027115713652</v>
      </c>
      <c r="F8" s="31">
        <v>476.86358198441496</v>
      </c>
    </row>
    <row r="9" spans="1:6" x14ac:dyDescent="0.25">
      <c r="A9" s="30">
        <v>0.078996</v>
      </c>
      <c r="B9" s="31">
        <v>331.0752759155757</v>
      </c>
      <c r="C9" s="31">
        <v>334.6825534574776</v>
      </c>
      <c r="D9" s="31">
        <v>339.6151198660842</v>
      </c>
      <c r="E9" s="31">
        <v>346.27870893600306</v>
      </c>
      <c r="F9" s="31">
        <v>355.26349568131866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41954000000</v>
      </c>
      <c r="C5" s="18">
        <v>41033000000</v>
      </c>
      <c r="D5" s="18">
        <v>39290000000</v>
      </c>
      <c r="E5" s="18">
        <v>36602000000</v>
      </c>
      <c r="F5" s="6" t="s">
        <v>91</v>
      </c>
    </row>
    <row r="6" spans="1:6" x14ac:dyDescent="0.25">
      <c r="A6" t="s">
        <v>51</v>
      </c>
      <c r="B6" s="18">
        <v>4280000000</v>
      </c>
      <c r="C6" s="18">
        <v>4370000000</v>
      </c>
      <c r="D6" s="18">
        <v>2537000000</v>
      </c>
      <c r="E6" s="18">
        <v>3601000000</v>
      </c>
      <c r="F6" s="6" t="s">
        <v>92</v>
      </c>
    </row>
    <row r="7" spans="1:6" x14ac:dyDescent="0.25">
      <c r="A7" t="s">
        <v>93</v>
      </c>
      <c r="B7" s="18">
        <v>1472000000</v>
      </c>
      <c r="C7" s="18">
        <v>1370000000</v>
      </c>
      <c r="D7" s="18">
        <v>1338000000</v>
      </c>
      <c r="E7" s="18">
        <v>1342000000</v>
      </c>
      <c r="F7" s="6" t="s">
        <v>94</v>
      </c>
    </row>
    <row r="8" spans="1:6" x14ac:dyDescent="0.25">
      <c r="A8" t="s">
        <v>95</v>
      </c>
      <c r="B8" s="18">
        <v>1450000000</v>
      </c>
      <c r="C8" s="18">
        <v>1767000000</v>
      </c>
      <c r="D8" s="18">
        <v>1775000000</v>
      </c>
      <c r="E8" s="18">
        <v>1435000000</v>
      </c>
      <c r="F8" s="6" t="s">
        <v>96</v>
      </c>
    </row>
    <row r="9" spans="1:6" x14ac:dyDescent="0.25">
      <c r="A9" t="s">
        <v>97</v>
      </c>
      <c r="B9" s="18">
        <v>863000000</v>
      </c>
      <c r="C9" s="18">
        <v>-274000000</v>
      </c>
      <c r="D9" s="18">
        <v>144000000</v>
      </c>
      <c r="E9" s="18">
        <v>600000000</v>
      </c>
      <c r="F9" s="6" t="s">
        <v>98</v>
      </c>
    </row>
    <row r="10" spans="1:6" x14ac:dyDescent="0.25">
      <c r="A10" t="s">
        <v>99</v>
      </c>
      <c r="B10" s="18">
        <v>17019000000</v>
      </c>
      <c r="C10" s="18">
        <v>16490000000</v>
      </c>
      <c r="D10" s="18">
        <v>15678000000</v>
      </c>
      <c r="E10" s="18">
        <v>13629000000</v>
      </c>
      <c r="F10" s="6" t="s">
        <v>100</v>
      </c>
    </row>
    <row r="11" spans="1:6" x14ac:dyDescent="0.25">
      <c r="A11" t="s">
        <v>101</v>
      </c>
      <c r="B11" s="18">
        <v>4403000000</v>
      </c>
      <c r="C11" s="18">
        <v>4353000000</v>
      </c>
      <c r="D11" s="18">
        <v>3109000000</v>
      </c>
      <c r="E11" s="18">
        <v>2577000000</v>
      </c>
      <c r="F11" s="6" t="s">
        <v>102</v>
      </c>
    </row>
    <row r="12" spans="1:6" x14ac:dyDescent="0.25">
      <c r="A12" t="s">
        <v>34</v>
      </c>
      <c r="B12" s="34">
        <v>143800000</v>
      </c>
      <c r="C12" s="34">
        <v>147300000</v>
      </c>
      <c r="D12" s="34">
        <v>152000000</v>
      </c>
      <c r="E12" s="34">
        <v>155600000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