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<sst xmlns="http://schemas.openxmlformats.org/spreadsheetml/2006/main" count="112" uniqueCount="100">
  <si>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Northrop Grumman Corporation (NOC)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</si>
  <si>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</si>
  <si>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</si>
  <si>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</si>
  <si>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</si>
  <si>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</si>
  <si>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</si>
  <si>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</si>
  <si>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</si>
  <si>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</si>
  <si>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</si>
  <si>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</si>
  <si>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</si>
  <si>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</si>
  <si>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</si>
  <si>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</si>
  <si>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</si>
  <si>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</si>
  <si>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</si>
  <si>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Clamped from a reported -0.110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</si>
  <si>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</si>
  <si>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</si>
  <si>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</si>
  <si>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</si>
  <si>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</si>
  <si>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</si>
  <si>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</si>
  <si>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</si>
  <si>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</si>
  <si>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</si>
  <si>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</si>
  <si>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</si>
  <si>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</si>
  <si>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</si>
  <si>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</si>
  <si>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</si>
  <si>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</si>
  <si>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</si>
  <si>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</si>
  <si>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</si>
  <si>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</si>
  <si>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</si>
  <si>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</si>
  <si>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</si>
  <si>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</si>
  <si>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</si>
  <si>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</si>
  <si>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</si>
  <si>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</si>
  <si>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</si>
  <si>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</si>
  <si>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</si>
  <si>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</si>
  <si>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</si>
  <si>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</si>
  <si>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</si>
  <si>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</si>
  <si>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</si>
  <si>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</si>
  <si>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</si>
  <si>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</si>
  <si>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</si>
  <si>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</si>
  <si>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</si>
  <si>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</si>
  <si>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</si>
  <si>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</si>
  <si>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</si>
  <si>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</si>
  <si>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</si>
  <si>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</si>
  <si>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</si>
  <si>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</si>
  <si>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</si>
  <si>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</si>
  <si>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</si>
  <si>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</si>
  <si>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</si>
  <si>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</si>
  <si>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</si>
  <si>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</si>
  <si>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</si>
  <si>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</si>
  <si>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</si>
  <si>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</si>
  <si>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</si>
  <si>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</si>
  <si>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</si>
  <si>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</si>
  <si>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</si>
  <si>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</si>
  <si>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</si>
  <si>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</si>
  <si>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</si>
  <si>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</si>
  <si>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</si>
  <si>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</si>
  <si>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</si>
  <si>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-0.110 is not usable in a cost of equity. Clamped to 0.30.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</si>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</sst>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0.04654085181148626</v>
      </c>
    </row>
    <row r="7" spans="1:2" x14ac:dyDescent="0.25">
      <c r="A7" t="s">
        <v>5</v>
      </c>
      <c r="B7" s="6">
        <v>0.09286747015479342</v>
      </c>
    </row>
    <row r="8" spans="1:2" x14ac:dyDescent="0.25">
      <c r="A8" t="s">
        <v>6</v>
      </c>
      <c r="B8" s="6">
        <v>0.1644660322061931</v>
      </c>
    </row>
    <row r="9" spans="1:2" x14ac:dyDescent="0.25">
      <c r="A9" t="s">
        <v>7</v>
      </c>
      <c r="B9" s="6">
        <v>0.034798234402863254</v>
      </c>
    </row>
    <row r="10" spans="1:2" x14ac:dyDescent="0.25">
      <c r="A10" t="s">
        <v>8</v>
      </c>
      <c r="B10" s="6">
        <v>0.04050174026382605</v>
      </c>
    </row>
    <row r="11" spans="1:2" x14ac:dyDescent="0.25">
      <c r="A11" t="s">
        <v>9</v>
      </c>
      <c r="B11" s="6">
        <v>0.05357142857142857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15.218814842837274</v>
      </c>
    </row>
    <row r="14" spans="1:3" x14ac:dyDescent="0.25">
      <c r="A14" t="s">
        <v>12</v>
      </c>
      <c r="B14" s="6">
        <v>0.1116415110789408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0.06648000000000001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74922622976</v>
      </c>
    </row>
    <row r="23" spans="1:2" x14ac:dyDescent="0.25">
      <c r="A23" t="s">
        <v>24</v>
      </c>
      <c r="B23" s="11">
        <v>17019000000</v>
      </c>
    </row>
    <row r="24" spans="1:2" x14ac:dyDescent="0.25">
      <c r="A24" t="s">
        <v>25</v>
      </c>
      <c r="B24" s="10">
        <f>B22/(B22+B23)</f>
        <v>0.814893413351616</v>
      </c>
    </row>
    <row r="25" spans="1:2" x14ac:dyDescent="0.25">
      <c r="A25" t="s">
        <v>26</v>
      </c>
      <c r="B25" s="10">
        <f>1-B24</f>
        <v>0.18510658664838398</v>
      </c>
    </row>
    <row r="26" spans="1:2" x14ac:dyDescent="0.25">
      <c r="A26" t="s">
        <v>27</v>
      </c>
      <c r="B26" s="12">
        <f>B24*B20+B25*B21*(1-B8)</f>
        <v>0.061904162903153925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41954000000</v>
      </c>
      <c r="C29" s="8" t="s">
        <v>30</v>
      </c>
    </row>
    <row r="30" spans="1:2" x14ac:dyDescent="0.25">
      <c r="A30" t="s">
        <v>31</v>
      </c>
      <c r="B30" s="11">
        <v>12616000000</v>
      </c>
    </row>
    <row r="31" spans="1:2" x14ac:dyDescent="0.25">
      <c r="A31" t="s">
        <v>32</v>
      </c>
      <c r="B31" s="13">
        <v>143800000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0.04654085181148626</v>
      </c>
      <c r="C5" s="10">
        <f>Assumptions!B6</f>
        <v>0.04654085181148626</v>
      </c>
      <c r="D5" s="10">
        <f>Assumptions!B6</f>
        <v>0.04654085181148626</v>
      </c>
      <c r="E5" s="10">
        <f>Assumptions!B6</f>
        <v>0.04654085181148626</v>
      </c>
      <c r="F5" s="10">
        <f>Assumptions!B6</f>
        <v>0.04654085181148626</v>
      </c>
    </row>
    <row r="6" spans="1:6" x14ac:dyDescent="0.25">
      <c r="A6" t="s">
        <v>43</v>
      </c>
      <c r="B6" s="18">
        <f>Assumptions!B29*(1+B5)</f>
        <v>43906574896.89909</v>
      </c>
      <c r="C6" s="18">
        <f>B6*(1+C5)</f>
        <v>45950024292.72559</v>
      </c>
      <c r="D6" s="18">
        <f>C6*(1+D5)</f>
        <v>48088577564.06753</v>
      </c>
      <c r="E6" s="18">
        <f>D6*(1+E5)</f>
        <v>50326660926.301956</v>
      </c>
      <c r="F6" s="18">
        <f>E6*(1+F5)</f>
        <v>52668906594.63989</v>
      </c>
    </row>
    <row r="7" spans="1:6" x14ac:dyDescent="0.25">
      <c r="A7" t="s">
        <v>5</v>
      </c>
      <c r="B7" s="10">
        <f>Assumptions!B7</f>
        <v>0.09286747015479342</v>
      </c>
      <c r="C7" s="10">
        <f>Assumptions!B7</f>
        <v>0.09286747015479342</v>
      </c>
      <c r="D7" s="10">
        <f>Assumptions!B7</f>
        <v>0.09286747015479342</v>
      </c>
      <c r="E7" s="10">
        <f>Assumptions!B7</f>
        <v>0.09286747015479342</v>
      </c>
      <c r="F7" s="10">
        <f>Assumptions!B7</f>
        <v>0.09286747015479342</v>
      </c>
    </row>
    <row r="8" spans="1:6" x14ac:dyDescent="0.25">
      <c r="A8" t="s">
        <v>44</v>
      </c>
      <c r="B8" s="18">
        <f>B6*B7</f>
        <v>4077492533.8369784</v>
      </c>
      <c r="C8" s="18">
        <f>C6*C7</f>
        <v>4267262509.616727</v>
      </c>
      <c r="D8" s="18">
        <f>D6*D7</f>
        <v>4465864541.717509</v>
      </c>
      <c r="E8" s="18">
        <f>E6*E7</f>
        <v>4673709681.563755</v>
      </c>
      <c r="F8" s="18">
        <f>F6*F7</f>
        <v>4891228111.263323</v>
      </c>
    </row>
    <row r="9" spans="1:6" x14ac:dyDescent="0.25">
      <c r="A9" t="s">
        <v>45</v>
      </c>
      <c r="B9" s="18">
        <f>B8*(1-Assumptions!B8)</f>
        <v>3406883515.446434</v>
      </c>
      <c r="C9" s="18">
        <f>C8*(1-Assumptions!B8)</f>
        <v>3565442776.277822</v>
      </c>
      <c r="D9" s="18">
        <f>D8*(1-Assumptions!B8)</f>
        <v>3731381520.170902</v>
      </c>
      <c r="E9" s="18">
        <f>E8*(1-Assumptions!B8)</f>
        <v>3905043194.553294</v>
      </c>
      <c r="F9" s="18">
        <f>F8*(1-Assumptions!B8)</f>
        <v>4086787231.1884522</v>
      </c>
    </row>
    <row r="10" spans="1:6" x14ac:dyDescent="0.25">
      <c r="A10" t="s">
        <v>46</v>
      </c>
      <c r="B10" s="18">
        <f>B6*Assumptions!B9</f>
        <v>1527871285.0891662</v>
      </c>
      <c r="C10" s="18">
        <f>C6*Assumptions!B9</f>
        <v>1598979716.155526</v>
      </c>
      <c r="D10" s="18">
        <f>D6*Assumptions!B9</f>
        <v>1673397594.1746926</v>
      </c>
      <c r="E10" s="18">
        <f>E6*Assumptions!B9</f>
        <v>1751278943.6268747</v>
      </c>
      <c r="F10" s="18">
        <f>F6*Assumptions!B9</f>
        <v>1832784957.4227893</v>
      </c>
    </row>
    <row r="11" spans="1:6" x14ac:dyDescent="0.25">
      <c r="A11" t="s">
        <v>47</v>
      </c>
      <c r="B11" s="18">
        <f>-B6*Assumptions!B10</f>
        <v>-1778292692.3484323</v>
      </c>
      <c r="C11" s="18">
        <f>-C6*Assumptions!B10</f>
        <v>-1861055949.0204694</v>
      </c>
      <c r="D11" s="18">
        <f>-D6*Assumptions!B10</f>
        <v>-1947671078.1567159</v>
      </c>
      <c r="E11" s="18">
        <f>-E6*Assumptions!B10</f>
        <v>-2038317349.1827252</v>
      </c>
      <c r="F11" s="18">
        <f>-F6*Assumptions!B10</f>
        <v>-2133182374.8758202</v>
      </c>
    </row>
    <row r="12" spans="1:6" x14ac:dyDescent="0.25">
      <c r="A12" t="s">
        <v>48</v>
      </c>
      <c r="B12" s="18">
        <f>-(B6-Assumptions!B29)*Assumptions!B11</f>
        <v>-104602226.61959429</v>
      </c>
      <c r="C12" s="18">
        <f>-(C6-B6)*Assumptions!B11</f>
        <v>-109470503.3478482</v>
      </c>
      <c r="D12" s="18">
        <f>-(D6-C6)*Assumptions!B11</f>
        <v>-114565353.82188933</v>
      </c>
      <c r="E12" s="18">
        <f>-(E6-D6)*Assumptions!B11</f>
        <v>-119897322.97684437</v>
      </c>
      <c r="F12" s="18">
        <f>-(F6-E6)*Assumptions!B11</f>
        <v>-125477446.51810373</v>
      </c>
    </row>
    <row r="13" spans="1:6" x14ac:dyDescent="0.25">
      <c r="A13" s="19" t="s">
        <v>49</v>
      </c>
      <c r="B13" s="20">
        <f>B9+B10+B11+B12</f>
        <v>3051859881.567574</v>
      </c>
      <c r="C13" s="20">
        <f>C9+C10+C11+C12</f>
        <v>3193896040.0650296</v>
      </c>
      <c r="D13" s="20">
        <f>D9+D10+D11+D12</f>
        <v>3342542682.366989</v>
      </c>
      <c r="E13" s="20">
        <f>E9+E10+E11+E12</f>
        <v>3498107466.0206</v>
      </c>
      <c r="F13" s="20">
        <f>F9+F10+F11+F12</f>
        <v>3660912367.2173176</v>
      </c>
    </row>
    <row r="14" spans="1:6" x14ac:dyDescent="0.25">
      <c r="A14" t="s">
        <v>50</v>
      </c>
      <c r="B14" s="21">
        <f>1/(1+Assumptions!$B$26)^(1-0.5*Assumptions!$B$32)</f>
        <v>0.9704146366750932</v>
      </c>
      <c r="C14" s="21">
        <f>1/(1+Assumptions!$B$26)^(2-0.5*Assumptions!$B$32)</f>
        <v>0.9138438953116673</v>
      </c>
      <c r="D14" s="21">
        <f>1/(1+Assumptions!$B$26)^(3-0.5*Assumptions!$B$32)</f>
        <v>0.8605709698070091</v>
      </c>
      <c r="E14" s="21">
        <f>1/(1+Assumptions!$B$26)^(4-0.5*Assumptions!$B$32)</f>
        <v>0.8104036125579194</v>
      </c>
      <c r="F14" s="21">
        <f>1/(1+Assumptions!$B$26)^(5-0.5*Assumptions!$B$32)</f>
        <v>0.7631607831184559</v>
      </c>
    </row>
    <row r="15" spans="1:6" x14ac:dyDescent="0.25">
      <c r="A15" s="19" t="s">
        <v>51</v>
      </c>
      <c r="B15" s="20">
        <f>B13*B14</f>
        <v>2961569498.1546903</v>
      </c>
      <c r="C15" s="20">
        <f>C13*C14</f>
        <v>2918722398.4735355</v>
      </c>
      <c r="D15" s="20">
        <f>D13*D14</f>
        <v>2876495197.7858815</v>
      </c>
      <c r="E15" s="20">
        <f>E13*E14</f>
        <v>2834878927.578923</v>
      </c>
      <c r="F15" s="20">
        <f>F13*F14</f>
        <v>2793864749.0936084</v>
      </c>
    </row>
    <row r="17" spans="1:2" x14ac:dyDescent="0.25">
      <c r="A17" s="22" t="s">
        <v>52</v>
      </c>
      <c r="B17" s="23">
        <f>SUM(B15:F15)</f>
        <v>14385530771.08664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3660912367.2173176</v>
      </c>
    </row>
    <row r="5" spans="1:2" x14ac:dyDescent="0.25">
      <c r="A5" t="s">
        <v>56</v>
      </c>
      <c r="B5" s="18">
        <f>IF(Assumptions!$B$33=0,B4,B4-Forecast!F11-Forecast!F10-Forecast!F12)</f>
        <v>4086787231.1884522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0.22393104283874038</v>
      </c>
    </row>
    <row r="7" spans="1:2" x14ac:dyDescent="0.25">
      <c r="A7" t="s">
        <v>58</v>
      </c>
      <c r="B7" s="18">
        <f>-MAX(Forecast!F9,0)*B6</f>
        <v>-915158526.5400785</v>
      </c>
    </row>
    <row r="8" spans="1:2" x14ac:dyDescent="0.25">
      <c r="A8" t="s">
        <v>59</v>
      </c>
      <c r="B8" s="18">
        <f>IF(OR(Assumptions!$B$33=0,Assumptions!B12&lt;=0),B5,MAX(B5+B7,0))</f>
        <v>3171628704.6483736</v>
      </c>
    </row>
    <row r="9" spans="1:2" x14ac:dyDescent="0.25">
      <c r="A9" t="s">
        <v>60</v>
      </c>
      <c r="B9" s="18">
        <f>B8*(1+Assumptions!B12)/(Assumptions!B26-Assumptions!B12)</f>
        <v>88090859310.25821</v>
      </c>
    </row>
    <row r="10" spans="1:2" x14ac:dyDescent="0.25">
      <c r="A10" t="s">
        <v>61</v>
      </c>
      <c r="B10" s="18">
        <f>B9/(1+Assumptions!B26)^(5-0.5*Assumptions!B32)</f>
        <v>67227489176.79438</v>
      </c>
    </row>
    <row r="11" spans="1:2" x14ac:dyDescent="0.25">
      <c r="A11" t="s">
        <v>62</v>
      </c>
      <c r="B11" s="18">
        <f>Forecast!B17+B10</f>
        <v>81613019947.88101</v>
      </c>
    </row>
    <row r="12" spans="1:2" x14ac:dyDescent="0.25">
      <c r="A12" t="s">
        <v>63</v>
      </c>
      <c r="B12" s="18">
        <f>-Assumptions!B30</f>
        <v>-12616000000</v>
      </c>
    </row>
    <row r="13" spans="1:2" x14ac:dyDescent="0.25">
      <c r="A13" t="s">
        <v>64</v>
      </c>
      <c r="B13" s="18">
        <f>B11+B12</f>
        <v>68997019947.88101</v>
      </c>
    </row>
    <row r="14" spans="1:2" x14ac:dyDescent="0.25">
      <c r="A14" s="19" t="s">
        <v>65</v>
      </c>
      <c r="B14" s="24">
        <f>B13/Assumptions!B31</f>
        <v>479.8123779407581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6724013068.686112</v>
      </c>
    </row>
    <row r="18" spans="1:2" x14ac:dyDescent="0.25">
      <c r="A18" t="s">
        <v>60</v>
      </c>
      <c r="B18" s="18">
        <f>B17*Assumptions!B13</f>
        <v>102331509893.15201</v>
      </c>
    </row>
    <row r="19" spans="1:2" x14ac:dyDescent="0.25">
      <c r="A19" t="s">
        <v>61</v>
      </c>
      <c r="B19" s="18">
        <f>B18/(1+Assumptions!B26)^(5-0.5*Assumptions!B32)</f>
        <v>78095395227.7519</v>
      </c>
    </row>
    <row r="20" spans="1:2" x14ac:dyDescent="0.25">
      <c r="A20" t="s">
        <v>62</v>
      </c>
      <c r="B20" s="18">
        <f>Forecast!B17+B19</f>
        <v>92480925998.83855</v>
      </c>
    </row>
    <row r="21" spans="1:2" x14ac:dyDescent="0.25">
      <c r="A21" t="s">
        <v>63</v>
      </c>
      <c r="B21" s="18">
        <f>-Assumptions!B30</f>
        <v>-12616000000</v>
      </c>
    </row>
    <row r="22" spans="1:2" x14ac:dyDescent="0.25">
      <c r="A22" t="s">
        <v>64</v>
      </c>
      <c r="B22" s="18">
        <f>B20+B21</f>
        <v>79864925998.83855</v>
      </c>
    </row>
    <row r="23" spans="1:2" x14ac:dyDescent="0.25">
      <c r="A23" s="19" t="s">
        <v>65</v>
      </c>
      <c r="B23" s="25">
        <f>B22/Assumptions!B31</f>
        <v>555.3889151518675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527.39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479.8123779407581</v>
      </c>
    </row>
    <row r="29" spans="1:2" x14ac:dyDescent="0.25">
      <c r="A29" s="19" t="s">
        <v>73</v>
      </c>
      <c r="B29" s="12">
        <f>B28/B26-1</f>
        <v>-0.09021335645204098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0.041904</v>
      </c>
      <c r="B5" s="31">
        <v>788.743767649997</v>
      </c>
      <c r="C5" s="31">
        <v>920.2676911273307</v>
      </c>
      <c r="D5" s="31">
        <v>1128.972036025108</v>
      </c>
      <c r="E5" s="31">
        <v>1512.110357560622</v>
      </c>
      <c r="F5" s="31">
        <v>2448.6672515574637</v>
      </c>
    </row>
    <row r="6" spans="1:6" x14ac:dyDescent="0.25">
      <c r="A6" s="30">
        <v>0.051904</v>
      </c>
      <c r="B6" s="31">
        <v>553.5227860540056</v>
      </c>
      <c r="C6" s="31">
        <v>608.6342066670267</v>
      </c>
      <c r="D6" s="31">
        <v>683.8533440154054</v>
      </c>
      <c r="E6" s="31">
        <v>792.9500917729162</v>
      </c>
      <c r="F6" s="31">
        <v>965.9862197063002</v>
      </c>
    </row>
    <row r="7" spans="1:6" x14ac:dyDescent="0.25">
      <c r="A7" s="30">
        <v>0.061904</v>
      </c>
      <c r="B7" s="31">
        <v>418.5932172065427</v>
      </c>
      <c r="C7" s="31">
        <v>445.66742319539406</v>
      </c>
      <c r="D7" s="32">
        <v>479.8148022835413</v>
      </c>
      <c r="E7" s="31">
        <v>524.3608809406888</v>
      </c>
      <c r="F7" s="31">
        <v>585.103328418063</v>
      </c>
    </row>
    <row r="8" spans="1:6" x14ac:dyDescent="0.25">
      <c r="A8" s="30">
        <v>0.071904</v>
      </c>
      <c r="B8" s="31">
        <v>331.0814685422116</v>
      </c>
      <c r="C8" s="31">
        <v>345.4428057519493</v>
      </c>
      <c r="D8" s="31">
        <v>362.6674569598547</v>
      </c>
      <c r="E8" s="31">
        <v>383.7803770621795</v>
      </c>
      <c r="F8" s="31">
        <v>410.36199185060707</v>
      </c>
    </row>
    <row r="9" spans="1:6" x14ac:dyDescent="0.25">
      <c r="A9" s="30">
        <v>0.081904</v>
      </c>
      <c r="B9" s="31">
        <v>269.72553122710895</v>
      </c>
      <c r="C9" s="31">
        <v>277.55677101498907</v>
      </c>
      <c r="D9" s="31">
        <v>286.6072752840117</v>
      </c>
      <c r="E9" s="31">
        <v>297.2294054555921</v>
      </c>
      <c r="F9" s="31">
        <v>309.92577087090314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41954000000</v>
      </c>
      <c r="C5" s="18">
        <v>41033000000</v>
      </c>
      <c r="D5" s="18">
        <v>39290000000</v>
      </c>
      <c r="E5" s="18">
        <v>36602000000</v>
      </c>
      <c r="F5" s="8" t="s">
        <v>84</v>
      </c>
    </row>
    <row r="6" spans="1:6" x14ac:dyDescent="0.25">
      <c r="A6" t="s">
        <v>44</v>
      </c>
      <c r="B6" s="18">
        <v>4280000000</v>
      </c>
      <c r="C6" s="18">
        <v>4370000000</v>
      </c>
      <c r="D6" s="18">
        <v>2537000000</v>
      </c>
      <c r="E6" s="18">
        <v>3601000000</v>
      </c>
      <c r="F6" s="8" t="s">
        <v>85</v>
      </c>
    </row>
    <row r="7" spans="1:6" x14ac:dyDescent="0.25">
      <c r="A7" t="s">
        <v>86</v>
      </c>
      <c r="B7" s="18">
        <v>1472000000</v>
      </c>
      <c r="C7" s="18">
        <v>1370000000</v>
      </c>
      <c r="D7" s="18">
        <v>1338000000</v>
      </c>
      <c r="E7" s="18">
        <v>1342000000</v>
      </c>
      <c r="F7" s="8" t="s">
        <v>87</v>
      </c>
    </row>
    <row r="8" spans="1:6" x14ac:dyDescent="0.25">
      <c r="A8" t="s">
        <v>88</v>
      </c>
      <c r="B8" s="18">
        <v>1450000000</v>
      </c>
      <c r="C8" s="18">
        <v>1767000000</v>
      </c>
      <c r="D8" s="18">
        <v>1775000000</v>
      </c>
      <c r="E8" s="18">
        <v>1435000000</v>
      </c>
      <c r="F8" s="8" t="s">
        <v>89</v>
      </c>
    </row>
    <row r="9" spans="1:6" x14ac:dyDescent="0.25">
      <c r="A9" t="s">
        <v>90</v>
      </c>
      <c r="B9" s="18">
        <v>863000000</v>
      </c>
      <c r="C9" s="18">
        <v>-274000000</v>
      </c>
      <c r="D9" s="18">
        <v>144000000</v>
      </c>
      <c r="E9" s="18">
        <v>600000000</v>
      </c>
      <c r="F9" s="8" t="s">
        <v>91</v>
      </c>
    </row>
    <row r="10" spans="1:6" x14ac:dyDescent="0.25">
      <c r="A10" t="s">
        <v>92</v>
      </c>
      <c r="B10" s="18">
        <v>17019000000</v>
      </c>
      <c r="C10" s="18">
        <v>16490000000</v>
      </c>
      <c r="D10" s="18">
        <v>15678000000</v>
      </c>
      <c r="E10" s="18">
        <v>13629000000</v>
      </c>
      <c r="F10" s="8" t="s">
        <v>93</v>
      </c>
    </row>
    <row r="11" spans="1:6" x14ac:dyDescent="0.25">
      <c r="A11" t="s">
        <v>94</v>
      </c>
      <c r="B11" s="18">
        <v>4403000000</v>
      </c>
      <c r="C11" s="18">
        <v>4353000000</v>
      </c>
      <c r="D11" s="18">
        <v>3109000000</v>
      </c>
      <c r="E11" s="18">
        <v>2577000000</v>
      </c>
      <c r="F11" s="8" t="s">
        <v>95</v>
      </c>
    </row>
    <row r="12" spans="1:6" x14ac:dyDescent="0.25">
      <c r="A12" t="s">
        <v>32</v>
      </c>
      <c r="B12" s="34">
        <v>143800000</v>
      </c>
      <c r="C12" s="34">
        <v>147300000</v>
      </c>
      <c r="D12" s="34">
        <v>152000000</v>
      </c>
      <c r="E12" s="34">
        <v>155600000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2026-09-19T00:07:03Z</dcterms:modified>
</cp:coreProperties>
</file>