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<sst xmlns="http://schemas.openxmlformats.org/spreadsheetml/2006/main" count="119" uniqueCount="102">
  <si>
    <t>Novartis AG (NOVN.SW)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</si>
  <si>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</si>
  <si>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</si>
  <si>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</si>
  <si>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</si>
  <si>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</si>
  <si>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</si>
  <si>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</si>
  <si>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</si>
  <si>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</si>
  <si>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</si>
  <si>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</si>
  <si>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</si>
  <si>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</si>
  <si>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</si>
  <si>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</si>
  <si>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CHF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</si>
  <si>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</si>
  <si>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</si>
  <si>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</si>
  <si>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</si>
  <si>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</si>
  <si>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</si>
  <si>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</si>
  <si>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</si>
  <si>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</si>
  <si>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</si>
  <si>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</si>
  <si>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</si>
  <si>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</si>
  <si>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</si>
  <si>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</si>
  <si>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</si>
  <si>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</si>
  <si>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</si>
  <si>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</si>
  <si>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</si>
  <si>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</si>
  <si>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</si>
  <si>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</si>
  <si>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</si>
  <si>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</si>
  <si>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</si>
  <si>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</si>
  <si>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</si>
  <si>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</si>
  <si>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</si>
  <si>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</si>
  <si>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</si>
  <si>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</si>
  <si>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</si>
  <si>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</si>
  <si>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</si>
  <si>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</si>
  <si>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</si>
  <si>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</si>
  <si>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</si>
  <si>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</si>
  <si>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</si>
  <si>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</si>
  <si>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</si>
  <si>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</si>
  <si>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</si>
  <si>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</si>
  <si>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</si>
  <si>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</si>
  <si>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</si>
  <si>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</si>
  <si>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</si>
  <si>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(CHF)</t>
  </si>
  <si>
    <t>Conversion, USD to CHF</t>
  </si>
  <si>
    <t>USD/CHF at 0.8218</t>
  </si>
  <si>
    <t>Value per share (CHF)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</si>
  <si>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</si>
  <si>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</si>
  <si>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</si>
  <si>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n/a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</si>
  <si>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</si>
  <si>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</si>
  <si>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</si>
  <si>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</si>
  <si>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</si>
  <si>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</si>
  <si>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</si>
  <si>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</si>
  <si>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</si>
  <si>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</si>
  <si>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</si>
  <si>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</si>
  <si>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</si>
  <si>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</si>
  <si>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</si>
  <si>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</si>
  <si>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</si>
  <si>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</si>
  <si>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</si>
  <si>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</si>
  <si>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ordinarySharesNumber</t>
  </si>
  <si>
    <t>Model notes</t>
  </si>
  <si>
    <t>Adjusted: Reports in USD, trades in CHF. Modelled in USD, converted at the end.</t>
  </si>
  <si>
    <t>Note: Risk-free rate is an assumption: CHF assumption - no free live source available for this market.</t>
  </si>
  <si>
    <t>Data: Yahoo Finance. Risk-free rate: CHF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</si>
</sst>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0.09251661471463568</v>
      </c>
    </row>
    <row r="7" spans="1:2" x14ac:dyDescent="0.25">
      <c r="A7" t="s">
        <v>5</v>
      </c>
      <c r="B7" s="6">
        <v>0.24617906174871226</v>
      </c>
    </row>
    <row r="8" spans="1:2" x14ac:dyDescent="0.25">
      <c r="A8" t="s">
        <v>6</v>
      </c>
      <c r="B8" s="6">
        <v>0.1352802315338219</v>
      </c>
    </row>
    <row r="9" spans="1:2" x14ac:dyDescent="0.25">
      <c r="A9" t="s">
        <v>7</v>
      </c>
      <c r="B9" s="6">
        <v>0.1357407884187274</v>
      </c>
    </row>
    <row r="10" spans="1:2" x14ac:dyDescent="0.25">
      <c r="A10" t="s">
        <v>8</v>
      </c>
      <c r="B10" s="6">
        <v>0.06326843589638216</v>
      </c>
    </row>
    <row r="11" spans="1:2" x14ac:dyDescent="0.25">
      <c r="A11" t="s">
        <v>9</v>
      </c>
      <c r="B11" s="6">
        <v>0.13947056499407348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10.562726945012843</v>
      </c>
    </row>
    <row r="14" spans="1:3" x14ac:dyDescent="0.25">
      <c r="A14" t="s">
        <v>12</v>
      </c>
      <c r="B14" s="6">
        <v>0.1448859465042658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0.005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0.6583</v>
      </c>
      <c r="C19" s="8" t="s">
        <v>19</v>
      </c>
    </row>
    <row r="20" spans="1:2" x14ac:dyDescent="0.25">
      <c r="A20" t="s">
        <v>20</v>
      </c>
      <c r="B20" s="10">
        <f>B17+B19*B18</f>
        <v>0.0412065</v>
      </c>
    </row>
    <row r="21" spans="1:3" x14ac:dyDescent="0.25">
      <c r="A21" t="s">
        <v>21</v>
      </c>
      <c r="B21" s="6">
        <v>0.03433682504427169</v>
      </c>
      <c r="C21" s="8" t="s">
        <v>22</v>
      </c>
    </row>
    <row r="22" spans="1:2" x14ac:dyDescent="0.25">
      <c r="A22" t="s">
        <v>23</v>
      </c>
      <c r="B22" s="11">
        <v>218772275200</v>
      </c>
    </row>
    <row r="23" spans="1:2" x14ac:dyDescent="0.25">
      <c r="A23" t="s">
        <v>24</v>
      </c>
      <c r="B23" s="11">
        <v>35376000000</v>
      </c>
    </row>
    <row r="24" spans="1:2" x14ac:dyDescent="0.25">
      <c r="A24" t="s">
        <v>25</v>
      </c>
      <c r="B24" s="10">
        <f>B22/(B22+B23)</f>
        <v>0.8608056656211374</v>
      </c>
    </row>
    <row r="25" spans="1:2" x14ac:dyDescent="0.25">
      <c r="A25" t="s">
        <v>26</v>
      </c>
      <c r="B25" s="10">
        <f>1-B24</f>
        <v>0.13919433437886264</v>
      </c>
    </row>
    <row r="26" spans="1:2" x14ac:dyDescent="0.25">
      <c r="A26" t="s">
        <v>27</v>
      </c>
      <c r="B26" s="12">
        <f>B24*B20+B25*B21*(1-B8)</f>
        <v>0.03960370944949512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56674000000</v>
      </c>
      <c r="C29" s="8" t="s">
        <v>30</v>
      </c>
    </row>
    <row r="30" spans="1:2" x14ac:dyDescent="0.25">
      <c r="A30" t="s">
        <v>31</v>
      </c>
      <c r="B30" s="11">
        <v>23843000000</v>
      </c>
    </row>
    <row r="31" spans="1:2" x14ac:dyDescent="0.25">
      <c r="A31" t="s">
        <v>32</v>
      </c>
      <c r="B31" s="13">
        <v>1908151679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0.09251661471463568</v>
      </c>
      <c r="C5" s="10">
        <f>Assumptions!B6</f>
        <v>0.09251661471463568</v>
      </c>
      <c r="D5" s="10">
        <f>Assumptions!B6</f>
        <v>0.09251661471463568</v>
      </c>
      <c r="E5" s="10">
        <f>Assumptions!B6</f>
        <v>0.09251661471463568</v>
      </c>
      <c r="F5" s="10">
        <f>Assumptions!B6</f>
        <v>0.09251661471463568</v>
      </c>
    </row>
    <row r="6" spans="1:6" x14ac:dyDescent="0.25">
      <c r="A6" t="s">
        <v>43</v>
      </c>
      <c r="B6" s="18">
        <f>Assumptions!B29*(1+B5)</f>
        <v>61917286622.337265</v>
      </c>
      <c r="C6" s="18">
        <f>B6*(1+C5)</f>
        <v>67645664372.951706</v>
      </c>
      <c r="D6" s="18">
        <f>C6*(1+D5)</f>
        <v>73904012240.85963</v>
      </c>
      <c r="E6" s="18">
        <f>D6*(1+E5)</f>
        <v>80741361267.21297</v>
      </c>
      <c r="F6" s="18">
        <f>E6*(1+F5)</f>
        <v>88211278679.10692</v>
      </c>
    </row>
    <row r="7" spans="1:6" x14ac:dyDescent="0.25">
      <c r="A7" t="s">
        <v>5</v>
      </c>
      <c r="B7" s="10">
        <f>Assumptions!B7</f>
        <v>0.24617906174871226</v>
      </c>
      <c r="C7" s="10">
        <f>Assumptions!B7</f>
        <v>0.24617906174871226</v>
      </c>
      <c r="D7" s="10">
        <f>Assumptions!B7</f>
        <v>0.24617906174871226</v>
      </c>
      <c r="E7" s="10">
        <f>Assumptions!B7</f>
        <v>0.24617906174871226</v>
      </c>
      <c r="F7" s="10">
        <f>Assumptions!B7</f>
        <v>0.24617906174871226</v>
      </c>
    </row>
    <row r="8" spans="1:6" x14ac:dyDescent="0.25">
      <c r="A8" t="s">
        <v>44</v>
      </c>
      <c r="B8" s="18">
        <f>B6*B7</f>
        <v>15242739526.713081</v>
      </c>
      <c r="C8" s="18">
        <f>C6*C7</f>
        <v>16652946186.701544</v>
      </c>
      <c r="D8" s="18">
        <f>D6*D7</f>
        <v>18193620392.92017</v>
      </c>
      <c r="E8" s="18">
        <f>E6*E7</f>
        <v>19876832561.076305</v>
      </c>
      <c r="F8" s="18">
        <f>F6*F7</f>
        <v>21715769820.876728</v>
      </c>
    </row>
    <row r="9" spans="1:6" x14ac:dyDescent="0.25">
      <c r="A9" t="s">
        <v>45</v>
      </c>
      <c r="B9" s="18">
        <f>B8*(1-Assumptions!B8)</f>
        <v>13180698194.329596</v>
      </c>
      <c r="C9" s="18">
        <f>C8*(1-Assumptions!B8)</f>
        <v>14400131770.844282</v>
      </c>
      <c r="D9" s="18">
        <f>D8*(1-Assumptions!B8)</f>
        <v>15732383213.727465</v>
      </c>
      <c r="E9" s="18">
        <f>E8*(1-Assumptions!B8)</f>
        <v>17187890050.05489</v>
      </c>
      <c r="F9" s="18">
        <f>F8*(1-Assumptions!B8)</f>
        <v>18778055451.57334</v>
      </c>
    </row>
    <row r="10" spans="1:6" x14ac:dyDescent="0.25">
      <c r="A10" t="s">
        <v>46</v>
      </c>
      <c r="B10" s="18">
        <f>B6*Assumptions!B9</f>
        <v>8404701302.864383</v>
      </c>
      <c r="C10" s="18">
        <f>C6*Assumptions!B9</f>
        <v>9182275815.093082</v>
      </c>
      <c r="D10" s="18">
        <f>D6*Assumptions!B9</f>
        <v>10031788888.881567</v>
      </c>
      <c r="E10" s="18">
        <f>E6*Assumptions!B9</f>
        <v>10959896036.412786</v>
      </c>
      <c r="F10" s="18">
        <f>F6*Assumptions!B9</f>
        <v>11973868515.32605</v>
      </c>
    </row>
    <row r="11" spans="1:6" x14ac:dyDescent="0.25">
      <c r="A11" t="s">
        <v>47</v>
      </c>
      <c r="B11" s="18">
        <f>-B6*Assumptions!B10</f>
        <v>-3917409879.543266</v>
      </c>
      <c r="C11" s="18">
        <f>-C6*Assumptions!B10</f>
        <v>-4279835380.0482774</v>
      </c>
      <c r="D11" s="18">
        <f>-D6*Assumptions!B10</f>
        <v>-4675791260.94627</v>
      </c>
      <c r="E11" s="18">
        <f>-E6*Assumptions!B10</f>
        <v>-5108379639.521297</v>
      </c>
      <c r="F11" s="18">
        <f>-F6*Assumptions!B10</f>
        <v>-5580989630.446979</v>
      </c>
    </row>
    <row r="12" spans="1:6" x14ac:dyDescent="0.25">
      <c r="A12" t="s">
        <v>48</v>
      </c>
      <c r="B12" s="18">
        <f>-(B6-Assumptions!B29)*Assumptions!B11</f>
        <v>-731284147.6432456</v>
      </c>
      <c r="C12" s="18">
        <f>-(C6-B6)*Assumptions!B11</f>
        <v>-798940081.3776759</v>
      </c>
      <c r="D12" s="18">
        <f>-(D6-C6)*Assumptions!B11</f>
        <v>-872855313.066574</v>
      </c>
      <c r="E12" s="18">
        <f>-(E6-D6)*Assumptions!B11</f>
        <v>-953608931.7671775</v>
      </c>
      <c r="F12" s="18">
        <f>-(F6-E6)*Assumptions!B11</f>
        <v>-1041833601.8959165</v>
      </c>
    </row>
    <row r="13" spans="1:6" x14ac:dyDescent="0.25">
      <c r="A13" s="19" t="s">
        <v>49</v>
      </c>
      <c r="B13" s="20">
        <f>B9+B10+B11+B12</f>
        <v>16936705470.007465</v>
      </c>
      <c r="C13" s="20">
        <f>C9+C10+C11+C12</f>
        <v>18503632124.51141</v>
      </c>
      <c r="D13" s="20">
        <f>D9+D10+D11+D12</f>
        <v>20215525528.596188</v>
      </c>
      <c r="E13" s="20">
        <f>E9+E10+E11+E12</f>
        <v>22085797515.1792</v>
      </c>
      <c r="F13" s="20">
        <f>F9+F10+F11+F12</f>
        <v>24129100734.556496</v>
      </c>
    </row>
    <row r="14" spans="1:6" x14ac:dyDescent="0.25">
      <c r="A14" t="s">
        <v>50</v>
      </c>
      <c r="B14" s="21">
        <f>1/(1+Assumptions!$B$26)^(1-0.5*Assumptions!$B$32)</f>
        <v>0.9807675535496733</v>
      </c>
      <c r="C14" s="21">
        <f>1/(1+Assumptions!$B$26)^(2-0.5*Assumptions!$B$32)</f>
        <v>0.9434052078065616</v>
      </c>
      <c r="D14" s="21">
        <f>1/(1+Assumptions!$B$26)^(3-0.5*Assumptions!$B$32)</f>
        <v>0.907466180845128</v>
      </c>
      <c r="E14" s="21">
        <f>1/(1+Assumptions!$B$26)^(4-0.5*Assumptions!$B$32)</f>
        <v>0.8728962513279811</v>
      </c>
      <c r="F14" s="21">
        <f>1/(1+Assumptions!$B$26)^(5-0.5*Assumptions!$B$32)</f>
        <v>0.8396432634798974</v>
      </c>
    </row>
    <row r="15" spans="1:6" x14ac:dyDescent="0.25">
      <c r="A15" s="19" t="s">
        <v>51</v>
      </c>
      <c r="B15" s="20">
        <f>B13*B14</f>
        <v>16610971189.010592</v>
      </c>
      <c r="C15" s="20">
        <f>C13*C14</f>
        <v>17456422909.600853</v>
      </c>
      <c r="D15" s="20">
        <f>D13*D14</f>
        <v>18344905745.212368</v>
      </c>
      <c r="E15" s="20">
        <f>E13*E14</f>
        <v>19278609858.588764</v>
      </c>
      <c r="F15" s="20">
        <f>F13*F14</f>
        <v>20259836885.598206</v>
      </c>
    </row>
    <row r="17" spans="1:2" x14ac:dyDescent="0.25">
      <c r="A17" s="22" t="s">
        <v>52</v>
      </c>
      <c r="B17" s="23">
        <f>SUM(B15:F15)</f>
        <v>91950746588.01077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24129100734.556496</v>
      </c>
    </row>
    <row r="5" spans="1:2" x14ac:dyDescent="0.25">
      <c r="A5" t="s">
        <v>56</v>
      </c>
      <c r="B5" s="18">
        <f>IF(Assumptions!$B$33=0,B4,B4-Forecast!F11-Forecast!F10-Forecast!F12)</f>
        <v>27033185509.68182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0.1725495163829705</v>
      </c>
    </row>
    <row r="7" spans="1:2" x14ac:dyDescent="0.25">
      <c r="A7" t="s">
        <v>58</v>
      </c>
      <c r="B7" s="18">
        <f>-MAX(Forecast!F9,0)*B6</f>
        <v>-4664563085.986724</v>
      </c>
    </row>
    <row r="8" spans="1:2" x14ac:dyDescent="0.25">
      <c r="A8" t="s">
        <v>59</v>
      </c>
      <c r="B8" s="18">
        <f>IF(OR(Assumptions!$B$33=0,Assumptions!B12&lt;=0),B5,MAX(B5+B7,0))</f>
        <v>22368622423.695095</v>
      </c>
    </row>
    <row r="9" spans="1:2" x14ac:dyDescent="0.25">
      <c r="A9" t="s">
        <v>60</v>
      </c>
      <c r="B9" s="18">
        <f>B8*(1+Assumptions!B12)/(Assumptions!B26-Assumptions!B12)</f>
        <v>1570000968834.6772</v>
      </c>
    </row>
    <row r="10" spans="1:2" x14ac:dyDescent="0.25">
      <c r="A10" t="s">
        <v>61</v>
      </c>
      <c r="B10" s="18">
        <f>B9/(1+Assumptions!B26)^(5-0.5*Assumptions!B32)</f>
        <v>1318240737138.949</v>
      </c>
    </row>
    <row r="11" spans="1:2" x14ac:dyDescent="0.25">
      <c r="A11" t="s">
        <v>62</v>
      </c>
      <c r="B11" s="18">
        <f>Forecast!B17+B10</f>
        <v>1410191483726.9597</v>
      </c>
    </row>
    <row r="12" spans="1:2" x14ac:dyDescent="0.25">
      <c r="A12" t="s">
        <v>63</v>
      </c>
      <c r="B12" s="18">
        <f>-Assumptions!B30</f>
        <v>-23843000000</v>
      </c>
    </row>
    <row r="13" spans="1:2" x14ac:dyDescent="0.25">
      <c r="A13" t="s">
        <v>64</v>
      </c>
      <c r="B13" s="18">
        <f>B11+B12</f>
        <v>1386348483726.9597</v>
      </c>
    </row>
    <row r="14" spans="1:2" x14ac:dyDescent="0.25">
      <c r="A14" s="19" t="s">
        <v>65</v>
      </c>
      <c r="B14" s="24">
        <f>B13/Assumptions!B31</f>
        <v>726.53998053944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33689638336.202778</v>
      </c>
    </row>
    <row r="18" spans="1:2" x14ac:dyDescent="0.25">
      <c r="A18" t="s">
        <v>60</v>
      </c>
      <c r="B18" s="18">
        <f>B17*Assumptions!B13</f>
        <v>355854450621.5467</v>
      </c>
    </row>
    <row r="19" spans="1:2" x14ac:dyDescent="0.25">
      <c r="A19" t="s">
        <v>61</v>
      </c>
      <c r="B19" s="18">
        <f>B18/(1+Assumptions!B26)^(5-0.5*Assumptions!B32)</f>
        <v>298790792243.72144</v>
      </c>
    </row>
    <row r="20" spans="1:2" x14ac:dyDescent="0.25">
      <c r="A20" t="s">
        <v>62</v>
      </c>
      <c r="B20" s="18">
        <f>Forecast!B17+B19</f>
        <v>390741538831.7322</v>
      </c>
    </row>
    <row r="21" spans="1:2" x14ac:dyDescent="0.25">
      <c r="A21" t="s">
        <v>63</v>
      </c>
      <c r="B21" s="18">
        <f>-Assumptions!B30</f>
        <v>-23843000000</v>
      </c>
    </row>
    <row r="22" spans="1:2" x14ac:dyDescent="0.25">
      <c r="A22" t="s">
        <v>64</v>
      </c>
      <c r="B22" s="18">
        <f>B20+B21</f>
        <v>366898538831.7322</v>
      </c>
    </row>
    <row r="23" spans="1:2" x14ac:dyDescent="0.25">
      <c r="A23" s="19" t="s">
        <v>65</v>
      </c>
      <c r="B23" s="25">
        <f>B22/Assumptions!B31</f>
        <v>192.27954615432444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115.1</v>
      </c>
    </row>
    <row r="27" spans="1:3" x14ac:dyDescent="0.25">
      <c r="A27" t="s">
        <v>70</v>
      </c>
      <c r="B27" s="27">
        <v>0.82181</v>
      </c>
      <c r="C27" s="8" t="s">
        <v>71</v>
      </c>
    </row>
    <row r="28" spans="1:2" x14ac:dyDescent="0.25">
      <c r="A28" t="s">
        <v>72</v>
      </c>
      <c r="B28" s="28">
        <f>B14*B27</f>
        <v>597.0778214071172</v>
      </c>
    </row>
    <row r="29" spans="1:2" x14ac:dyDescent="0.25">
      <c r="A29" s="19" t="s">
        <v>73</v>
      </c>
      <c r="B29" s="12">
        <f>B28/B26-1</f>
        <v>4.18747021205141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0.019604</v>
      </c>
      <c r="B5" s="31">
        <v>2603.926479379384</v>
      </c>
      <c r="C5" s="31" t="s">
        <v>76</v>
      </c>
      <c r="D5" s="31" t="s">
        <v>76</v>
      </c>
      <c r="E5" s="31" t="s">
        <v>76</v>
      </c>
      <c r="F5" s="31" t="s">
        <v>76</v>
      </c>
    </row>
    <row r="6" spans="1:6" x14ac:dyDescent="0.25">
      <c r="A6" s="30">
        <v>0.029604</v>
      </c>
      <c r="B6" s="31">
        <v>811.0260401497076</v>
      </c>
      <c r="C6" s="31">
        <v>1174.2985290992162</v>
      </c>
      <c r="D6" s="31">
        <v>2325.6764287917067</v>
      </c>
      <c r="E6" s="31" t="s">
        <v>76</v>
      </c>
      <c r="F6" s="31" t="s">
        <v>76</v>
      </c>
    </row>
    <row r="7" spans="1:6" x14ac:dyDescent="0.25">
      <c r="A7" s="30">
        <v>0.039604</v>
      </c>
      <c r="B7" s="31">
        <v>475.61413694862335</v>
      </c>
      <c r="C7" s="31">
        <v>569.1769858785538</v>
      </c>
      <c r="D7" s="32">
        <v>726.5253321100458</v>
      </c>
      <c r="E7" s="31">
        <v>1047.2825054560346</v>
      </c>
      <c r="F7" s="31">
        <v>2063.8404274450722</v>
      </c>
    </row>
    <row r="8" spans="1:6" x14ac:dyDescent="0.25">
      <c r="A8" s="30">
        <v>0.049604</v>
      </c>
      <c r="B8" s="31">
        <v>334.1154954022532</v>
      </c>
      <c r="C8" s="31">
        <v>372.894692312583</v>
      </c>
      <c r="D8" s="31">
        <v>427.2754162045821</v>
      </c>
      <c r="E8" s="31">
        <v>509.1951749707746</v>
      </c>
      <c r="F8" s="31">
        <v>646.939748062879</v>
      </c>
    </row>
    <row r="9" spans="1:6" x14ac:dyDescent="0.25">
      <c r="A9" s="30">
        <v>0.059604</v>
      </c>
      <c r="B9" s="31">
        <v>256.10471440528835</v>
      </c>
      <c r="C9" s="31">
        <v>275.7553961502524</v>
      </c>
      <c r="D9" s="31">
        <v>300.975927300117</v>
      </c>
      <c r="E9" s="31">
        <v>334.5884852996027</v>
      </c>
      <c r="F9" s="31">
        <v>381.70932777935155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77</v>
      </c>
    </row>
    <row r="2" spans="1:1" x14ac:dyDescent="0.25">
      <c r="A2" s="3" t="s">
        <v>78</v>
      </c>
    </row>
    <row r="4" spans="1:6" x14ac:dyDescent="0.25">
      <c r="A4" s="16" t="s">
        <v>79</v>
      </c>
      <c r="B4" s="17" t="s">
        <v>80</v>
      </c>
      <c r="C4" s="17" t="s">
        <v>81</v>
      </c>
      <c r="D4" s="17" t="s">
        <v>82</v>
      </c>
      <c r="E4" s="17" t="s">
        <v>83</v>
      </c>
      <c r="F4" s="33" t="s">
        <v>84</v>
      </c>
    </row>
    <row r="5" spans="1:6" x14ac:dyDescent="0.25">
      <c r="A5" t="s">
        <v>43</v>
      </c>
      <c r="B5" s="18">
        <v>56674000000</v>
      </c>
      <c r="C5" s="18">
        <v>51722000000</v>
      </c>
      <c r="D5" s="18">
        <v>46660000000</v>
      </c>
      <c r="E5" s="18">
        <v>43461000000</v>
      </c>
      <c r="F5" s="8" t="s">
        <v>85</v>
      </c>
    </row>
    <row r="6" spans="1:6" x14ac:dyDescent="0.25">
      <c r="A6" t="s">
        <v>44</v>
      </c>
      <c r="B6" s="18">
        <v>17644000000</v>
      </c>
      <c r="C6" s="18">
        <v>14544000000</v>
      </c>
      <c r="D6" s="18">
        <v>9769000000</v>
      </c>
      <c r="E6" s="18">
        <v>7946000000</v>
      </c>
      <c r="F6" s="8" t="s">
        <v>86</v>
      </c>
    </row>
    <row r="7" spans="1:6" x14ac:dyDescent="0.25">
      <c r="A7" t="s">
        <v>87</v>
      </c>
      <c r="B7" s="18">
        <v>5325000000</v>
      </c>
      <c r="C7" s="18">
        <v>6069000000</v>
      </c>
      <c r="D7" s="18">
        <v>8277000000</v>
      </c>
      <c r="E7" s="18">
        <v>6705000000</v>
      </c>
      <c r="F7" s="8" t="s">
        <v>88</v>
      </c>
    </row>
    <row r="8" spans="1:6" x14ac:dyDescent="0.25">
      <c r="A8" t="s">
        <v>89</v>
      </c>
      <c r="B8" s="18">
        <v>3900000000</v>
      </c>
      <c r="C8" s="18">
        <v>3814000000</v>
      </c>
      <c r="D8" s="18">
        <v>2753000000</v>
      </c>
      <c r="E8" s="18">
        <v>2239000000</v>
      </c>
      <c r="F8" s="8" t="s">
        <v>90</v>
      </c>
    </row>
    <row r="9" spans="1:6" x14ac:dyDescent="0.25">
      <c r="A9" t="s">
        <v>91</v>
      </c>
      <c r="B9" s="18">
        <v>1577000000</v>
      </c>
      <c r="C9" s="18">
        <v>706000000</v>
      </c>
      <c r="D9" s="18">
        <v>369000000</v>
      </c>
      <c r="E9" s="18">
        <v>796000000</v>
      </c>
      <c r="F9" s="8" t="s">
        <v>92</v>
      </c>
    </row>
    <row r="10" spans="1:6" x14ac:dyDescent="0.25">
      <c r="A10" t="s">
        <v>93</v>
      </c>
      <c r="B10" s="18">
        <v>35376000000</v>
      </c>
      <c r="C10" s="18">
        <v>31258000000</v>
      </c>
      <c r="D10" s="18">
        <v>26348000000</v>
      </c>
      <c r="E10" s="18">
        <v>27909000000</v>
      </c>
      <c r="F10" s="8" t="s">
        <v>94</v>
      </c>
    </row>
    <row r="11" spans="1:6" x14ac:dyDescent="0.25">
      <c r="A11" t="s">
        <v>95</v>
      </c>
      <c r="B11" s="18">
        <v>11533000000</v>
      </c>
      <c r="C11" s="18">
        <v>13351000000</v>
      </c>
      <c r="D11" s="18">
        <v>13962000000</v>
      </c>
      <c r="E11" s="18">
        <v>18615000000</v>
      </c>
      <c r="F11" s="8" t="s">
        <v>96</v>
      </c>
    </row>
    <row r="12" spans="1:6" x14ac:dyDescent="0.25">
      <c r="A12" t="s">
        <v>32</v>
      </c>
      <c r="B12" s="34">
        <v>1908151679</v>
      </c>
      <c r="C12" s="34">
        <v>1975089248</v>
      </c>
      <c r="D12" s="34">
        <v>2044033986</v>
      </c>
      <c r="E12" s="34">
        <v>2119609057</v>
      </c>
      <c r="F12" s="8" t="s">
        <v>97</v>
      </c>
    </row>
    <row r="15" spans="1:1" x14ac:dyDescent="0.25">
      <c r="A15" s="19" t="s">
        <v>98</v>
      </c>
    </row>
    <row r="16" ht="22" customHeight="1" spans="1:6" x14ac:dyDescent="0.25">
      <c r="A16" s="35" t="s">
        <v>99</v>
      </c>
      <c r="B16" s="35"/>
      <c r="C16" s="35"/>
      <c r="D16" s="35"/>
      <c r="E16" s="35"/>
      <c r="F16" s="35"/>
    </row>
    <row r="17" ht="22" customHeight="1" spans="1:6" x14ac:dyDescent="0.25">
      <c r="A17" s="35" t="s">
        <v>100</v>
      </c>
      <c r="B17" s="35"/>
      <c r="C17" s="35"/>
      <c r="D17" s="35"/>
      <c r="E17" s="35"/>
      <c r="F17" s="35"/>
    </row>
    <row r="19" spans="1:1" x14ac:dyDescent="0.25">
      <c r="A19" s="36" t="s">
        <v>101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2026-09-19T00:06:59Z</dcterms:modified>
</cp:coreProperties>
</file>