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<sst xmlns="http://schemas.openxmlformats.org/spreadsheetml/2006/main" count="121" uniqueCount="108">
  <si>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ServiceNow, Inc. (NOW)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</si>
  <si>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</si>
  <si>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</si>
  <si>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</si>
  <si>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</si>
  <si>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</si>
  <si>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</si>
  <si>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</si>
  <si>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</si>
  <si>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</si>
  <si>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</si>
  <si>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</si>
  <si>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</si>
  <si>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</si>
  <si>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</si>
  <si>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</si>
  <si>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</si>
  <si>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</si>
  <si>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</si>
  <si>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</si>
  <si>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</si>
  <si>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</si>
  <si>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</si>
  <si>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</si>
  <si>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79.3x interest cover. Book interest / average debt was lower, at 1.0%.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</si>
  <si>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</si>
  <si>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</si>
  <si>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</si>
  <si>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</si>
  <si>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</si>
  <si>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</si>
  <si>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</si>
  <si>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</si>
  <si>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</si>
  <si>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</si>
  <si>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</si>
  <si>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</si>
  <si>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</si>
  <si>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</si>
  <si>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</si>
  <si>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</si>
  <si>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</si>
  <si>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</si>
  <si>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</si>
  <si>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</si>
  <si>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</si>
  <si>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</si>
  <si>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</si>
  <si>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</si>
  <si>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</si>
  <si>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</si>
  <si>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</si>
  <si>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</si>
  <si>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</si>
  <si>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</si>
  <si>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</si>
  <si>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</si>
  <si>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</si>
  <si>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</si>
  <si>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</si>
  <si>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</si>
  <si>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</si>
  <si>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</si>
  <si>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</si>
  <si>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</si>
  <si>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</si>
  <si>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</si>
  <si>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</si>
  <si>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</si>
  <si>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</si>
  <si>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</si>
  <si>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</si>
  <si>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</si>
  <si>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</si>
  <si>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</si>
  <si>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</si>
  <si>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</si>
  <si>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</si>
  <si>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</si>
  <si>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</si>
  <si>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</si>
  <si>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</si>
  <si>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</si>
  <si>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</si>
  <si>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</si>
  <si>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</si>
  <si>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</si>
  <si>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</si>
  <si>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</si>
  <si>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</si>
  <si>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</si>
  <si>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</si>
  <si>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</si>
  <si>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</si>
  <si>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</si>
  <si>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</si>
  <si>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</si>
  <si>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</si>
  <si>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</si>
  <si>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</si>
  <si>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</si>
  <si>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</si>
  <si>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</si>
  <si>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</si>
  <si>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</si>
  <si>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7.6% of revenue against depreciation of 5.7%.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</si>
  <si>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41.4x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</si>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</sst>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0.22258529748456102</v>
      </c>
    </row>
    <row r="7" spans="1:2" x14ac:dyDescent="0.25">
      <c r="A7" t="s">
        <v>4</v>
      </c>
      <c r="B7" s="5">
        <v>0.09887259637098929</v>
      </c>
    </row>
    <row r="8" spans="1:2" x14ac:dyDescent="0.25">
      <c r="A8" t="s">
        <v>5</v>
      </c>
      <c r="B8" s="5">
        <v>0.18546365914786966</v>
      </c>
    </row>
    <row r="9" spans="1:2" x14ac:dyDescent="0.25">
      <c r="A9" t="s">
        <v>6</v>
      </c>
      <c r="B9" s="5">
        <v>0.05733493358404979</v>
      </c>
    </row>
    <row r="10" spans="1:3" x14ac:dyDescent="0.25">
      <c r="A10" t="s">
        <v>7</v>
      </c>
      <c r="B10" s="5">
        <v>0.07585699494429561</v>
      </c>
      <c r="C10" s="6" t="s">
        <v>8</v>
      </c>
    </row>
    <row r="11" spans="1:2" x14ac:dyDescent="0.25">
      <c r="A11" t="s">
        <v>9</v>
      </c>
      <c r="B11" s="5">
        <v>0.19900911143984074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0.08976780935302724</v>
      </c>
      <c r="C14" s="6" t="s">
        <v>13</v>
      </c>
    </row>
    <row r="15" spans="1:3" x14ac:dyDescent="0.25">
      <c r="A15" t="s">
        <v>14</v>
      </c>
      <c r="B15" s="5">
        <v>0.05733493358404979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0.9892799999999999</v>
      </c>
      <c r="C19" s="6" t="s">
        <v>21</v>
      </c>
    </row>
    <row r="20" spans="1:2" x14ac:dyDescent="0.25">
      <c r="A20" t="s">
        <v>22</v>
      </c>
      <c r="B20" s="9">
        <f>B17+B19*B18</f>
        <v>0.090786544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110029586432</v>
      </c>
    </row>
    <row r="23" spans="1:2" x14ac:dyDescent="0.25">
      <c r="A23" t="s">
        <v>26</v>
      </c>
      <c r="B23" s="10">
        <v>2403000000</v>
      </c>
    </row>
    <row r="24" spans="1:2" x14ac:dyDescent="0.25">
      <c r="A24" t="s">
        <v>27</v>
      </c>
      <c r="B24" s="9">
        <f>B22/(B22+B23)</f>
        <v>0.9786271927360369</v>
      </c>
    </row>
    <row r="25" spans="1:2" x14ac:dyDescent="0.25">
      <c r="A25" t="s">
        <v>28</v>
      </c>
      <c r="B25" s="9">
        <f>1-B24</f>
        <v>0.021372807263963067</v>
      </c>
    </row>
    <row r="26" spans="1:2" x14ac:dyDescent="0.25">
      <c r="A26" t="s">
        <v>29</v>
      </c>
      <c r="B26" s="11">
        <f>B24*B20+B25*B21*(1-B8)</f>
        <v>0.08976780935302724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13278000000</v>
      </c>
      <c r="C29" s="6" t="s">
        <v>32</v>
      </c>
    </row>
    <row r="30" spans="1:2" x14ac:dyDescent="0.25">
      <c r="A30" t="s">
        <v>33</v>
      </c>
      <c r="B30" s="10">
        <v>-3881000000</v>
      </c>
    </row>
    <row r="31" spans="1:2" x14ac:dyDescent="0.25">
      <c r="A31" t="s">
        <v>34</v>
      </c>
      <c r="B31" s="12">
        <v>1046691000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0.22258529748456102</v>
      </c>
      <c r="C5" s="5">
        <v>0.18646315433346938</v>
      </c>
      <c r="D5" s="5">
        <v>0.1662802600417857</v>
      </c>
      <c r="E5" s="5">
        <v>0.14609736575010204</v>
      </c>
      <c r="F5" s="5">
        <v>0.12591447145841836</v>
      </c>
      <c r="G5" s="5">
        <v>0.10573157716673469</v>
      </c>
      <c r="H5" s="5">
        <v>0.08554868287505102</v>
      </c>
      <c r="I5" s="5">
        <v>0.06536578858336733</v>
      </c>
      <c r="J5" s="5">
        <v>0.04518289429168368</v>
      </c>
      <c r="K5" s="5">
        <v>0.024999999999999994</v>
      </c>
    </row>
    <row r="6" spans="1:11" x14ac:dyDescent="0.25">
      <c r="A6" t="s">
        <v>50</v>
      </c>
      <c r="B6" s="18">
        <f>Assumptions!B29*(1+B5)</f>
        <v>16233487580.000002</v>
      </c>
      <c r="C6" s="18">
        <f>B6*(1+C5)</f>
        <v>19260434880</v>
      </c>
      <c r="D6" s="18">
        <f>C6*(1+D5)</f>
        <v>22463065000.364277</v>
      </c>
      <c r="E6" s="18">
        <f>D6*(1+E5)</f>
        <v>25744859623.590816</v>
      </c>
      <c r="F6" s="18">
        <f>E6*(1+F5)</f>
        <v>28986510015.866432</v>
      </c>
      <c r="G6" s="18">
        <f>F6*(1+G5)</f>
        <v>32051299436.40334</v>
      </c>
      <c r="H6" s="18">
        <f>G6*(1+H5)</f>
        <v>34793245887.621506</v>
      </c>
      <c r="I6" s="18">
        <f>H6*(1+I5)</f>
        <v>37067533842.44089</v>
      </c>
      <c r="J6" s="18">
        <f>I6*(1+J5)</f>
        <v>38742352305.6973</v>
      </c>
      <c r="K6" s="18">
        <f>J6*(1+K5)</f>
        <v>39710911113.33973</v>
      </c>
    </row>
    <row r="7" spans="1:11" x14ac:dyDescent="0.25">
      <c r="A7" t="s">
        <v>4</v>
      </c>
      <c r="B7" s="9">
        <f>Assumptions!B7</f>
        <v>0.09887259637098929</v>
      </c>
      <c r="C7" s="9">
        <f>Assumptions!B7</f>
        <v>0.09887259637098929</v>
      </c>
      <c r="D7" s="9">
        <f>Assumptions!B7</f>
        <v>0.09887259637098929</v>
      </c>
      <c r="E7" s="9">
        <f>Assumptions!B7</f>
        <v>0.09887259637098929</v>
      </c>
      <c r="F7" s="9">
        <f>Assumptions!B7</f>
        <v>0.09887259637098929</v>
      </c>
      <c r="G7" s="9">
        <f>Assumptions!B7</f>
        <v>0.09887259637098929</v>
      </c>
      <c r="H7" s="9">
        <f>Assumptions!B7</f>
        <v>0.09887259637098929</v>
      </c>
      <c r="I7" s="9">
        <f>Assumptions!B7</f>
        <v>0.09887259637098929</v>
      </c>
      <c r="J7" s="9">
        <f>Assumptions!B7</f>
        <v>0.09887259637098929</v>
      </c>
      <c r="K7" s="9">
        <f>Assumptions!B7</f>
        <v>0.09887259637098929</v>
      </c>
    </row>
    <row r="8" spans="1:11" x14ac:dyDescent="0.25">
      <c r="A8" t="s">
        <v>51</v>
      </c>
      <c r="B8" s="18">
        <f>B6*B7</f>
        <v>1605047065.1908078</v>
      </c>
      <c r="C8" s="18">
        <f>C6*C7</f>
        <v>1904329203.8199635</v>
      </c>
      <c r="D8" s="18">
        <f>D6*D7</f>
        <v>2220981559.0363135</v>
      </c>
      <c r="E8" s="18">
        <f>E6*E7</f>
        <v>2545461114.191074</v>
      </c>
      <c r="F8" s="18">
        <f>F6*F7</f>
        <v>2865971505.0024</v>
      </c>
      <c r="G8" s="18">
        <f>G6*G7</f>
        <v>3168995192.3412237</v>
      </c>
      <c r="H8" s="18">
        <f>H6*H7</f>
        <v>3440098557.083384</v>
      </c>
      <c r="I8" s="18">
        <f>I6*I7</f>
        <v>3664963312.0716434</v>
      </c>
      <c r="J8" s="18">
        <f>J6*J7</f>
        <v>3830556961.9838758</v>
      </c>
      <c r="K8" s="18">
        <f>K6*K7</f>
        <v>3926320886.033472</v>
      </c>
    </row>
    <row r="9" spans="1:11" x14ac:dyDescent="0.25">
      <c r="A9" t="s">
        <v>52</v>
      </c>
      <c r="B9" s="18">
        <f>B8*(1-Assumptions!B8)</f>
        <v>1307369163.3759713</v>
      </c>
      <c r="C9" s="18">
        <f>C8*(1-Assumptions!B8)</f>
        <v>1551145341.4573638</v>
      </c>
      <c r="D9" s="18">
        <f>D8*(1-Assumptions!B8)</f>
        <v>1809070192.1974986</v>
      </c>
      <c r="E9" s="18">
        <f>E8*(1-Assumptions!B8)</f>
        <v>2073370581.734584</v>
      </c>
      <c r="F9" s="18">
        <f>F8*(1-Assumptions!B8)</f>
        <v>2334437942.671128</v>
      </c>
      <c r="G9" s="18">
        <f>G8*(1-Assumptions!B8)</f>
        <v>2581261748.1476135</v>
      </c>
      <c r="H9" s="18">
        <f>H8*(1-Assumptions!B8)</f>
        <v>2802085290.8573933</v>
      </c>
      <c r="I9" s="18">
        <f>I8*(1-Assumptions!B8)</f>
        <v>2985245805.5721407</v>
      </c>
      <c r="J9" s="18">
        <f>J8*(1-Assumptions!B8)</f>
        <v>3120127851.2399993</v>
      </c>
      <c r="K9" s="18">
        <f>K8*(1-Assumptions!B8)</f>
        <v>3198131047.5209985</v>
      </c>
    </row>
    <row r="10" spans="1:11" x14ac:dyDescent="0.25">
      <c r="A10" t="s">
        <v>53</v>
      </c>
      <c r="B10" s="18">
        <f>B6*Assumptions!B9</f>
        <v>930745932.2367973</v>
      </c>
      <c r="C10" s="18">
        <f>C6*Assumptions!B9</f>
        <v>1104295754.644716</v>
      </c>
      <c r="D10" s="18">
        <f>D6*Assumptions!B9</f>
        <v>1287918339.8900793</v>
      </c>
      <c r="E10" s="18">
        <f>E6*Assumptions!B9</f>
        <v>1476079816.6492646</v>
      </c>
      <c r="F10" s="18">
        <f>F6*Assumptions!B9</f>
        <v>1661939626.593096</v>
      </c>
      <c r="G10" s="18">
        <f>G6*Assumptions!B9</f>
        <v>1837659124.468678</v>
      </c>
      <c r="H10" s="18">
        <f>H6*Assumptions!B9</f>
        <v>1994868442.1402926</v>
      </c>
      <c r="I10" s="18">
        <f>I6*Assumptions!B9</f>
        <v>2125264590.9808662</v>
      </c>
      <c r="J10" s="18">
        <f>J6*Assumptions!B9</f>
        <v>2221290196.3370132</v>
      </c>
      <c r="K10" s="18">
        <f>K6*Assumptions!B9</f>
        <v>2276822451.245438</v>
      </c>
    </row>
    <row r="11" spans="1:11" x14ac:dyDescent="0.25">
      <c r="A11" t="s">
        <v>54</v>
      </c>
      <c r="B11" s="18">
        <f>-B6*B19</f>
        <v>-1231423585.2843456</v>
      </c>
      <c r="C11" s="18">
        <f>-C6*C19</f>
        <v>-1469399292.8644774</v>
      </c>
      <c r="D11" s="18">
        <f>-D6*D19</f>
        <v>-1723482170.60838</v>
      </c>
      <c r="E11" s="18">
        <f>-E6*E19</f>
        <v>-1986453720.3231347</v>
      </c>
      <c r="F11" s="18">
        <f>-F6*F19</f>
        <v>-2249159472.883523</v>
      </c>
      <c r="G11" s="18">
        <f>-G6*G19</f>
        <v>-2500879499.2374115</v>
      </c>
      <c r="H11" s="18">
        <f>-H6*H19</f>
        <v>-2729929520.2330785</v>
      </c>
      <c r="I11" s="18">
        <f>-I6*I19</f>
        <v>-2924463814.2362247</v>
      </c>
      <c r="J11" s="18">
        <f>-J6*J19</f>
        <v>-3073416857.990616</v>
      </c>
      <c r="K11" s="18">
        <f>-K6*K19</f>
        <v>-3167490016.4256806</v>
      </c>
    </row>
    <row r="12" spans="1:11" x14ac:dyDescent="0.25">
      <c r="A12" t="s">
        <v>55</v>
      </c>
      <c r="B12" s="18">
        <f>-(B6-Assumptions!B29)*Assumptions!B11</f>
        <v>-588168957.1672856</v>
      </c>
      <c r="C12" s="18">
        <f>-(C6-B6)*Assumptions!B11</f>
        <v>-602390092.5482247</v>
      </c>
      <c r="D12" s="18">
        <f>-(D6-C6)*Assumptions!B11</f>
        <v>-637352574.5241649</v>
      </c>
      <c r="E12" s="18">
        <f>-(E6-D6)*Assumptions!B11</f>
        <v>-653107031.8963605</v>
      </c>
      <c r="F12" s="18">
        <f>-(F6-E6)*Assumptions!B11</f>
        <v>-645117964.1653814</v>
      </c>
      <c r="G12" s="18">
        <f>-(G6-F6)*Assumptions!B11</f>
        <v>-609921019.3312743</v>
      </c>
      <c r="H12" s="18">
        <f>-(H6-G6)*Assumptions!B11</f>
        <v>-545672326.8725519</v>
      </c>
      <c r="I12" s="18">
        <f>-(I6-H6)*Assumptions!B11</f>
        <v>-452604025.0469378</v>
      </c>
      <c r="J12" s="18">
        <f>-(J6-I6)*Assumptions!B11</f>
        <v>-333304134.195699</v>
      </c>
      <c r="K12" s="18">
        <f>-(K6-J6)*Assumptions!B11</f>
        <v>-192752027.68615073</v>
      </c>
    </row>
    <row r="13" spans="1:11" x14ac:dyDescent="0.25">
      <c r="A13" s="19" t="s">
        <v>56</v>
      </c>
      <c r="B13" s="20">
        <f>B9+B10+B11+B12</f>
        <v>418522553.16113746</v>
      </c>
      <c r="C13" s="20">
        <f>C9+C10+C11+C12</f>
        <v>583651710.6893778</v>
      </c>
      <c r="D13" s="20">
        <f>D9+D10+D11+D12</f>
        <v>736153786.9550328</v>
      </c>
      <c r="E13" s="20">
        <f>E9+E10+E11+E12</f>
        <v>909889646.1643535</v>
      </c>
      <c r="F13" s="20">
        <f>F9+F10+F11+F12</f>
        <v>1102100132.2153196</v>
      </c>
      <c r="G13" s="20">
        <f>G9+G10+G11+G12</f>
        <v>1308120354.0476053</v>
      </c>
      <c r="H13" s="20">
        <f>H9+H10+H11+H12</f>
        <v>1521351885.892056</v>
      </c>
      <c r="I13" s="20">
        <f>I9+I10+I11+I12</f>
        <v>1733442557.2698445</v>
      </c>
      <c r="J13" s="20">
        <f>J9+J10+J11+J12</f>
        <v>1934697055.3906982</v>
      </c>
      <c r="K13" s="20">
        <f>K9+K10+K11+K12</f>
        <v>2114711454.6546052</v>
      </c>
    </row>
    <row r="14" spans="1:11" x14ac:dyDescent="0.25">
      <c r="A14" t="s">
        <v>57</v>
      </c>
      <c r="B14" s="21">
        <f>1/(1+Assumptions!$B$26)^(1-0.5*Assumptions!$B$32)</f>
        <v>0.9579283190938349</v>
      </c>
      <c r="C14" s="21">
        <f>1/(1+Assumptions!$B$26)^(2-0.5*Assumptions!$B$32)</f>
        <v>0.8790205683011847</v>
      </c>
      <c r="D14" s="21">
        <f>1/(1+Assumptions!$B$26)^(3-0.5*Assumptions!$B$32)</f>
        <v>0.8066127121363964</v>
      </c>
      <c r="E14" s="21">
        <f>1/(1+Assumptions!$B$26)^(4-0.5*Assumptions!$B$32)</f>
        <v>0.7401693325987174</v>
      </c>
      <c r="F14" s="21">
        <f>1/(1+Assumptions!$B$26)^(5-0.5*Assumptions!$B$32)</f>
        <v>0.6791991158539916</v>
      </c>
      <c r="G14" s="21">
        <f>1/(1+Assumptions!$B$26)^(6-0.5*Assumptions!$B$32)</f>
        <v>0.6232512192273493</v>
      </c>
      <c r="H14" s="21">
        <f>1/(1+Assumptions!$B$26)^(7-0.5*Assumptions!$B$32)</f>
        <v>0.571911937458825</v>
      </c>
      <c r="I14" s="21">
        <f>1/(1+Assumptions!$B$26)^(8-0.5*Assumptions!$B$32)</f>
        <v>0.5248016435706221</v>
      </c>
      <c r="J14" s="21">
        <f>1/(1+Assumptions!$B$26)^(9-0.5*Assumptions!$B$32)</f>
        <v>0.4815719817253421</v>
      </c>
      <c r="K14" s="21">
        <f>1/(1+Assumptions!$B$26)^(10-0.5*Assumptions!$B$32)</f>
        <v>0.4419032913178464</v>
      </c>
    </row>
    <row r="15" spans="1:11" x14ac:dyDescent="0.25">
      <c r="A15" s="19" t="s">
        <v>58</v>
      </c>
      <c r="B15" s="20">
        <f>B13*B14</f>
        <v>400914605.85250854</v>
      </c>
      <c r="C15" s="20">
        <f>C13*C14</f>
        <v>513041858.4201355</v>
      </c>
      <c r="D15" s="20">
        <f>D13*D14</f>
        <v>593791002.645278</v>
      </c>
      <c r="E15" s="20">
        <f>E13*E14</f>
        <v>673472412.1399527</v>
      </c>
      <c r="F15" s="20">
        <f>F13*F14</f>
        <v>748545435.3832123</v>
      </c>
      <c r="G15" s="20">
        <f>G13*G14</f>
        <v>815287605.5562818</v>
      </c>
      <c r="H15" s="20">
        <f>H13*H14</f>
        <v>870079304.617163</v>
      </c>
      <c r="I15" s="20">
        <f>I13*I14</f>
        <v>909713503.0904766</v>
      </c>
      <c r="J15" s="20">
        <f>J13*J14</f>
        <v>931695895.0026824</v>
      </c>
      <c r="K15" s="20">
        <f>K13*K14</f>
        <v>934497951.9994206</v>
      </c>
    </row>
    <row r="17" spans="1:2" x14ac:dyDescent="0.25">
      <c r="A17" s="22" t="s">
        <v>59</v>
      </c>
      <c r="B17" s="23">
        <f>SUM(B15:K15)</f>
        <v>7391039574.707111</v>
      </c>
    </row>
    <row r="19" spans="1:11" x14ac:dyDescent="0.25">
      <c r="A19" t="s">
        <v>7</v>
      </c>
      <c r="B19" s="9">
        <f>Assumptions!$B$10+($B$20-Assumptions!$B$10)*0/9</f>
        <v>0.07585699494429561</v>
      </c>
      <c r="C19" s="9">
        <f>Assumptions!$B$10+($B$20-Assumptions!$B$10)*1/9</f>
        <v>0.07629107556601948</v>
      </c>
      <c r="D19" s="9">
        <f>Assumptions!$B$10+($B$20-Assumptions!$B$10)*2/9</f>
        <v>0.07672515618774334</v>
      </c>
      <c r="E19" s="9">
        <f>Assumptions!$B$10+($B$20-Assumptions!$B$10)*3/9</f>
        <v>0.07715923680946721</v>
      </c>
      <c r="F19" s="9">
        <f>Assumptions!$B$10+($B$20-Assumptions!$B$10)*4/9</f>
        <v>0.07759331743119106</v>
      </c>
      <c r="G19" s="9">
        <f>Assumptions!$B$10+($B$20-Assumptions!$B$10)*5/9</f>
        <v>0.07802739805291493</v>
      </c>
      <c r="H19" s="9">
        <f>Assumptions!$B$10+($B$20-Assumptions!$B$10)*6/9</f>
        <v>0.07846147867463879</v>
      </c>
      <c r="I19" s="9">
        <f>Assumptions!$B$10+($B$20-Assumptions!$B$10)*7/9</f>
        <v>0.07889555929636266</v>
      </c>
      <c r="J19" s="9">
        <f>Assumptions!$B$10+($B$20-Assumptions!$B$10)*8/9</f>
        <v>0.07932963991808652</v>
      </c>
      <c r="K19" s="9">
        <f>Assumptions!$B$10+($B$20-Assumptions!$B$10)*9/9</f>
        <v>0.07976372053981039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0.07976372053981039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2114711454.6546052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3198131047.5209985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0.2784962692103049</v>
      </c>
    </row>
    <row r="7" spans="1:2" x14ac:dyDescent="0.25">
      <c r="A7" t="s">
        <v>66</v>
      </c>
      <c r="B7" s="18">
        <f>-MAX(B5,0)*B6</f>
        <v>-890667565.1802424</v>
      </c>
    </row>
    <row r="8" spans="1:2" x14ac:dyDescent="0.25">
      <c r="A8" t="s">
        <v>67</v>
      </c>
      <c r="B8" s="18">
        <f>IF(OR(Assumptions!$B$33=0,Assumptions!B12&lt;=0),B5,MAX(B5+B7,0))</f>
        <v>2307463482.340756</v>
      </c>
    </row>
    <row r="9" spans="1:2" x14ac:dyDescent="0.25">
      <c r="A9" t="s">
        <v>68</v>
      </c>
      <c r="B9" s="18">
        <f>B8*(1+Assumptions!B12)/(Assumptions!B26-Assumptions!B12)</f>
        <v>36517370172.389946</v>
      </c>
    </row>
    <row r="10" spans="1:2" x14ac:dyDescent="0.25">
      <c r="A10" t="s">
        <v>69</v>
      </c>
      <c r="B10" s="18">
        <f>B9/(1+Assumptions!B26)^(10-0.5*Assumptions!B32)</f>
        <v>16137146069.45127</v>
      </c>
    </row>
    <row r="11" spans="1:2" x14ac:dyDescent="0.25">
      <c r="A11" t="s">
        <v>70</v>
      </c>
      <c r="B11" s="18">
        <f>Forecast!B17+B10</f>
        <v>23528185644.15838</v>
      </c>
    </row>
    <row r="12" spans="1:2" x14ac:dyDescent="0.25">
      <c r="A12" t="s">
        <v>71</v>
      </c>
      <c r="B12" s="18">
        <f>-Assumptions!B30</f>
        <v>3881000000</v>
      </c>
    </row>
    <row r="13" spans="1:2" x14ac:dyDescent="0.25">
      <c r="A13" t="s">
        <v>72</v>
      </c>
      <c r="B13" s="18">
        <f>B11+B12</f>
        <v>27409185644.15838</v>
      </c>
    </row>
    <row r="14" spans="1:2" x14ac:dyDescent="0.25">
      <c r="A14" s="19" t="s">
        <v>73</v>
      </c>
      <c r="B14" s="24">
        <f>B13/Assumptions!B31</f>
        <v>26.186511247501297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6203143337.27891</v>
      </c>
    </row>
    <row r="18" spans="1:2" x14ac:dyDescent="0.25">
      <c r="A18" t="s">
        <v>68</v>
      </c>
      <c r="B18" s="18">
        <f>B17*Assumptions!B13</f>
        <v>124062866745.57819</v>
      </c>
    </row>
    <row r="19" spans="1:2" x14ac:dyDescent="0.25">
      <c r="A19" t="s">
        <v>69</v>
      </c>
      <c r="B19" s="18">
        <f>B18/(1+Assumptions!B26)^(10-0.5*Assumptions!B32)</f>
        <v>54823789145.198395</v>
      </c>
    </row>
    <row r="20" spans="1:2" x14ac:dyDescent="0.25">
      <c r="A20" t="s">
        <v>70</v>
      </c>
      <c r="B20" s="18">
        <f>Forecast!B17+B19</f>
        <v>62214828719.9055</v>
      </c>
    </row>
    <row r="21" spans="1:2" x14ac:dyDescent="0.25">
      <c r="A21" t="s">
        <v>71</v>
      </c>
      <c r="B21" s="18">
        <f>-Assumptions!B30</f>
        <v>3881000000</v>
      </c>
    </row>
    <row r="22" spans="1:2" x14ac:dyDescent="0.25">
      <c r="A22" t="s">
        <v>72</v>
      </c>
      <c r="B22" s="18">
        <f>B20+B21</f>
        <v>66095828719.9055</v>
      </c>
    </row>
    <row r="23" spans="1:2" x14ac:dyDescent="0.25">
      <c r="A23" s="19" t="s">
        <v>73</v>
      </c>
      <c r="B23" s="25">
        <f>B22/Assumptions!B31</f>
        <v>63.14741286578895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106.01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26.186511247501297</v>
      </c>
    </row>
    <row r="29" spans="1:2" x14ac:dyDescent="0.25">
      <c r="A29" s="19" t="s">
        <v>81</v>
      </c>
      <c r="B29" s="11">
        <f>B28/B26-1</f>
        <v>-0.7529807447646326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0.069768</v>
      </c>
      <c r="B5" s="31">
        <v>36.90508959654518</v>
      </c>
      <c r="C5" s="31">
        <v>37.047820546370176</v>
      </c>
      <c r="D5" s="31">
        <v>37.31081008408255</v>
      </c>
      <c r="E5" s="31">
        <v>37.73941826848112</v>
      </c>
      <c r="F5" s="31">
        <v>38.405098151230995</v>
      </c>
    </row>
    <row r="6" spans="1:6" x14ac:dyDescent="0.25">
      <c r="A6" s="30">
        <v>0.079768</v>
      </c>
      <c r="B6" s="31">
        <v>30.904023930686574</v>
      </c>
      <c r="C6" s="31">
        <v>30.636503087898493</v>
      </c>
      <c r="D6" s="31">
        <v>30.388308102095518</v>
      </c>
      <c r="E6" s="31">
        <v>30.165263757371385</v>
      </c>
      <c r="F6" s="31">
        <v>29.97579704658219</v>
      </c>
    </row>
    <row r="7" spans="1:6" x14ac:dyDescent="0.25">
      <c r="A7" s="30">
        <v>0.089768</v>
      </c>
      <c r="B7" s="31">
        <v>26.847188653294435</v>
      </c>
      <c r="C7" s="31">
        <v>26.51681941607778</v>
      </c>
      <c r="D7" s="32">
        <v>26.186450178861122</v>
      </c>
      <c r="E7" s="31">
        <v>25.856080941644468</v>
      </c>
      <c r="F7" s="31">
        <v>25.52571170442781</v>
      </c>
    </row>
    <row r="8" spans="1:6" x14ac:dyDescent="0.25">
      <c r="A8" s="30">
        <v>0.099768</v>
      </c>
      <c r="B8" s="31">
        <v>23.886567174887727</v>
      </c>
      <c r="C8" s="31">
        <v>23.605576559122976</v>
      </c>
      <c r="D8" s="31">
        <v>23.324585943358233</v>
      </c>
      <c r="E8" s="31">
        <v>23.043595327593483</v>
      </c>
      <c r="F8" s="31">
        <v>22.762604711828732</v>
      </c>
    </row>
    <row r="9" spans="1:6" x14ac:dyDescent="0.25">
      <c r="A9" s="30">
        <v>0.109768</v>
      </c>
      <c r="B9" s="31">
        <v>21.502376778628328</v>
      </c>
      <c r="C9" s="31">
        <v>21.260760932177195</v>
      </c>
      <c r="D9" s="31">
        <v>21.01914508572606</v>
      </c>
      <c r="E9" s="31">
        <v>20.777529239274926</v>
      </c>
      <c r="F9" s="31">
        <v>20.53591339282379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13278000000</v>
      </c>
      <c r="C5" s="18">
        <v>10984000000</v>
      </c>
      <c r="D5" s="18">
        <v>8971000000</v>
      </c>
      <c r="E5" s="18">
        <v>7245000000</v>
      </c>
      <c r="F5" s="6" t="s">
        <v>91</v>
      </c>
    </row>
    <row r="6" spans="1:6" x14ac:dyDescent="0.25">
      <c r="A6" t="s">
        <v>51</v>
      </c>
      <c r="B6" s="18">
        <v>1824000000</v>
      </c>
      <c r="C6" s="18">
        <v>1364000000</v>
      </c>
      <c r="D6" s="18">
        <v>762000000</v>
      </c>
      <c r="E6" s="18">
        <v>355000000</v>
      </c>
      <c r="F6" s="6" t="s">
        <v>92</v>
      </c>
    </row>
    <row r="7" spans="1:6" x14ac:dyDescent="0.25">
      <c r="A7" t="s">
        <v>93</v>
      </c>
      <c r="B7" s="18">
        <v>738000000</v>
      </c>
      <c r="C7" s="18">
        <v>564000000</v>
      </c>
      <c r="D7" s="18">
        <v>562000000</v>
      </c>
      <c r="E7" s="18">
        <v>433000000</v>
      </c>
      <c r="F7" s="6" t="s">
        <v>94</v>
      </c>
    </row>
    <row r="8" spans="1:6" x14ac:dyDescent="0.25">
      <c r="A8" t="s">
        <v>95</v>
      </c>
      <c r="B8" s="18">
        <v>911000000</v>
      </c>
      <c r="C8" s="18">
        <v>892000000</v>
      </c>
      <c r="D8" s="18">
        <v>697000000</v>
      </c>
      <c r="E8" s="18">
        <v>550000000</v>
      </c>
      <c r="F8" s="6" t="s">
        <v>96</v>
      </c>
    </row>
    <row r="9" spans="1:6" x14ac:dyDescent="0.25">
      <c r="A9" t="s">
        <v>97</v>
      </c>
      <c r="B9" s="18">
        <v>-29000000</v>
      </c>
      <c r="C9" s="18">
        <v>65000000</v>
      </c>
      <c r="D9" s="18">
        <v>101000000</v>
      </c>
      <c r="E9" s="18">
        <v>-174000000</v>
      </c>
      <c r="F9" s="6" t="s">
        <v>98</v>
      </c>
    </row>
    <row r="10" spans="1:6" x14ac:dyDescent="0.25">
      <c r="A10" t="s">
        <v>99</v>
      </c>
      <c r="B10" s="18">
        <v>2403000000</v>
      </c>
      <c r="C10" s="18">
        <v>2278000000</v>
      </c>
      <c r="D10" s="18">
        <v>2284000000</v>
      </c>
      <c r="E10" s="18">
        <v>2232000000</v>
      </c>
      <c r="F10" s="6" t="s">
        <v>100</v>
      </c>
    </row>
    <row r="11" spans="1:6" x14ac:dyDescent="0.25">
      <c r="A11" t="s">
        <v>101</v>
      </c>
      <c r="B11" s="18">
        <v>6284000000</v>
      </c>
      <c r="C11" s="18">
        <v>5762000000</v>
      </c>
      <c r="D11" s="18">
        <v>4877000000</v>
      </c>
      <c r="E11" s="18">
        <v>4280000000</v>
      </c>
      <c r="F11" s="6" t="s">
        <v>102</v>
      </c>
    </row>
    <row r="12" spans="1:6" x14ac:dyDescent="0.25">
      <c r="A12" t="s">
        <v>34</v>
      </c>
      <c r="B12" s="34">
        <v>1046691000</v>
      </c>
      <c r="C12" s="34">
        <v>1040000000</v>
      </c>
      <c r="D12" s="34">
        <v>1030000000</v>
      </c>
      <c r="E12" s="34">
        <v>1020000000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