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<sst xmlns="http://schemas.openxmlformats.org/spreadsheetml/2006/main" count="113" uniqueCount="101">
  <si>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ServiceNow, Inc. (NOW)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</si>
  <si>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</si>
  <si>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</si>
  <si>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</si>
  <si>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</si>
  <si>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</si>
  <si>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</si>
  <si>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</si>
  <si>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</si>
  <si>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</si>
  <si>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</si>
  <si>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</si>
  <si>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</si>
  <si>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</si>
  <si>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</si>
  <si>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</si>
  <si>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</si>
  <si>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</si>
  <si>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</si>
  <si>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</si>
  <si>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</si>
  <si>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</si>
  <si>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</si>
  <si>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</si>
  <si>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</si>
  <si>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</si>
  <si>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</si>
  <si>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</si>
  <si>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</si>
  <si>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</si>
  <si>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</si>
  <si>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</si>
  <si>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</si>
  <si>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</si>
  <si>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</si>
  <si>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</si>
  <si>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</si>
  <si>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</si>
  <si>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</si>
  <si>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</si>
  <si>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</si>
  <si>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</si>
  <si>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</si>
  <si>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</si>
  <si>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</si>
  <si>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</si>
  <si>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</si>
  <si>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</si>
  <si>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</si>
  <si>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</si>
  <si>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</si>
  <si>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</si>
  <si>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</si>
  <si>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</si>
  <si>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</si>
  <si>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</si>
  <si>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</si>
  <si>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</si>
  <si>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</si>
  <si>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</si>
  <si>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</si>
  <si>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</si>
  <si>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</si>
  <si>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</si>
  <si>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</si>
  <si>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</si>
  <si>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</si>
  <si>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</si>
  <si>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</si>
  <si>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</si>
  <si>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</si>
  <si>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</si>
  <si>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</si>
  <si>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</si>
  <si>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</si>
  <si>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</si>
  <si>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</si>
  <si>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</si>
  <si>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</si>
  <si>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</si>
  <si>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</si>
  <si>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</si>
  <si>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</si>
  <si>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</si>
  <si>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</si>
  <si>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</si>
  <si>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</si>
  <si>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</si>
  <si>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</si>
  <si>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</si>
  <si>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</si>
  <si>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</si>
  <si>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</si>
  <si>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</si>
  <si>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</si>
  <si>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</si>
  <si>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</si>
  <si>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</si>
  <si>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7.6% of revenue against depreciation of 5.7%. A perpetuity has to be a steady state, so the terminal year uses maintenance capex at depreciation and then charges the reinvestment terminal growth requires (g/ROIC of NOPAT). The bridge is shown under Terminal Value.</t>
  </si>
  <si>
    <t>Current EV/EBITDA of 53.2x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</si>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</sst>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0.22376517864742618</v>
      </c>
    </row>
    <row r="7" spans="1:2" x14ac:dyDescent="0.25">
      <c r="A7" t="s">
        <v>5</v>
      </c>
      <c r="B7" s="6">
        <v>0.09887259637098929</v>
      </c>
    </row>
    <row r="8" spans="1:2" x14ac:dyDescent="0.25">
      <c r="A8" t="s">
        <v>6</v>
      </c>
      <c r="B8" s="6">
        <v>0.18546365914786966</v>
      </c>
    </row>
    <row r="9" spans="1:2" x14ac:dyDescent="0.25">
      <c r="A9" t="s">
        <v>7</v>
      </c>
      <c r="B9" s="6">
        <v>0.05733493358404979</v>
      </c>
    </row>
    <row r="10" spans="1:2" x14ac:dyDescent="0.25">
      <c r="A10" t="s">
        <v>8</v>
      </c>
      <c r="B10" s="6">
        <v>0.07585699494429561</v>
      </c>
    </row>
    <row r="11" spans="1:2" x14ac:dyDescent="0.25">
      <c r="A11" t="s">
        <v>9</v>
      </c>
      <c r="B11" s="6">
        <v>0.03229011425732737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0.10288151580341542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0.98124</v>
      </c>
      <c r="C19" s="8" t="s">
        <v>19</v>
      </c>
    </row>
    <row r="20" spans="1:2" x14ac:dyDescent="0.25">
      <c r="A20" t="s">
        <v>20</v>
      </c>
      <c r="B20" s="10">
        <f>B17+B19*B18</f>
        <v>0.1039482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140057280512</v>
      </c>
    </row>
    <row r="23" spans="1:2" x14ac:dyDescent="0.25">
      <c r="A23" t="s">
        <v>24</v>
      </c>
      <c r="B23" s="11">
        <v>2403000000</v>
      </c>
    </row>
    <row r="24" spans="1:2" x14ac:dyDescent="0.25">
      <c r="A24" t="s">
        <v>25</v>
      </c>
      <c r="B24" s="10">
        <f>B22/(B22+B23)</f>
        <v>0.9831321404719712</v>
      </c>
    </row>
    <row r="25" spans="1:2" x14ac:dyDescent="0.25">
      <c r="A25" t="s">
        <v>26</v>
      </c>
      <c r="B25" s="10">
        <f>1-B24</f>
        <v>0.016867859528028828</v>
      </c>
    </row>
    <row r="26" spans="1:2" x14ac:dyDescent="0.25">
      <c r="A26" t="s">
        <v>27</v>
      </c>
      <c r="B26" s="12">
        <f>B24*B20+B25*B21*(1-B8)</f>
        <v>0.10288151580341542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13278000000</v>
      </c>
      <c r="C29" s="8" t="s">
        <v>30</v>
      </c>
    </row>
    <row r="30" spans="1:2" x14ac:dyDescent="0.25">
      <c r="A30" t="s">
        <v>31</v>
      </c>
      <c r="B30" s="11">
        <v>-3881000000</v>
      </c>
    </row>
    <row r="31" spans="1:2" x14ac:dyDescent="0.25">
      <c r="A31" t="s">
        <v>32</v>
      </c>
      <c r="B31" s="13">
        <v>1047000000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0.22376517864742618</v>
      </c>
      <c r="C5" s="10">
        <f>Assumptions!B6</f>
        <v>0.22376517864742618</v>
      </c>
      <c r="D5" s="10">
        <f>Assumptions!B6</f>
        <v>0.22376517864742618</v>
      </c>
      <c r="E5" s="10">
        <f>Assumptions!B6</f>
        <v>0.22376517864742618</v>
      </c>
      <c r="F5" s="10">
        <f>Assumptions!B6</f>
        <v>0.22376517864742618</v>
      </c>
    </row>
    <row r="6" spans="1:6" x14ac:dyDescent="0.25">
      <c r="A6" t="s">
        <v>43</v>
      </c>
      <c r="B6" s="18">
        <f>Assumptions!B29*(1+B5)</f>
        <v>16249154042.080524</v>
      </c>
      <c r="C6" s="18">
        <f>B6*(1+C5)</f>
        <v>19885148899.17622</v>
      </c>
      <c r="D6" s="18">
        <f>C6*(1+D5)</f>
        <v>24334752795.031055</v>
      </c>
      <c r="E6" s="18">
        <f>D6*(1+E5)</f>
        <v>29780023101.55213</v>
      </c>
      <c r="F6" s="18">
        <f>E6*(1+F5)</f>
        <v>36443755290.99542</v>
      </c>
    </row>
    <row r="7" spans="1:6" x14ac:dyDescent="0.25">
      <c r="A7" t="s">
        <v>5</v>
      </c>
      <c r="B7" s="10">
        <f>Assumptions!B7</f>
        <v>0.09887259637098929</v>
      </c>
      <c r="C7" s="10">
        <f>Assumptions!B7</f>
        <v>0.09887259637098929</v>
      </c>
      <c r="D7" s="10">
        <f>Assumptions!B7</f>
        <v>0.09887259637098929</v>
      </c>
      <c r="E7" s="10">
        <f>Assumptions!B7</f>
        <v>0.09887259637098929</v>
      </c>
      <c r="F7" s="10">
        <f>Assumptions!B7</f>
        <v>0.09887259637098929</v>
      </c>
    </row>
    <row r="8" spans="1:6" x14ac:dyDescent="0.25">
      <c r="A8" t="s">
        <v>44</v>
      </c>
      <c r="B8" s="18">
        <f>B6*B7</f>
        <v>1606596048.9726567</v>
      </c>
      <c r="C8" s="18">
        <f>C6*C7</f>
        <v>1966096300.8852723</v>
      </c>
      <c r="D8" s="18">
        <f>D6*D7</f>
        <v>2406040190.890909</v>
      </c>
      <c r="E8" s="18">
        <f>E6*E7</f>
        <v>2944428204.0385003</v>
      </c>
      <c r="F8" s="18">
        <f>F6*F7</f>
        <v>3603288707.129696</v>
      </c>
    </row>
    <row r="9" spans="1:6" x14ac:dyDescent="0.25">
      <c r="A9" t="s">
        <v>45</v>
      </c>
      <c r="B9" s="18">
        <f>B8*(1-Assumptions!B8)</f>
        <v>1308630866.9576778</v>
      </c>
      <c r="C9" s="18">
        <f>C8*(1-Assumptions!B8)</f>
        <v>1601456886.6859987</v>
      </c>
      <c r="D9" s="18">
        <f>D8*(1-Assumptions!B8)</f>
        <v>1959807173.0314424</v>
      </c>
      <c r="E9" s="18">
        <f>E8*(1-Assumptions!B8)</f>
        <v>2398343775.21933</v>
      </c>
      <c r="F9" s="18">
        <f>F8*(1-Assumptions!B8)</f>
        <v>2935009598.539226</v>
      </c>
    </row>
    <row r="10" spans="1:6" x14ac:dyDescent="0.25">
      <c r="A10" t="s">
        <v>46</v>
      </c>
      <c r="B10" s="18">
        <f>B6*Assumptions!B9</f>
        <v>931644167.7996811</v>
      </c>
      <c r="C10" s="18">
        <f>C6*Assumptions!B9</f>
        <v>1140113691.4432094</v>
      </c>
      <c r="D10" s="18">
        <f>D6*Assumptions!B9</f>
        <v>1395231435.2873757</v>
      </c>
      <c r="E10" s="18">
        <f>E6*Assumptions!B9</f>
        <v>1707435646.6589599</v>
      </c>
      <c r="F10" s="18">
        <f>F6*Assumptions!B9</f>
        <v>2089500289.1625857</v>
      </c>
    </row>
    <row r="11" spans="1:6" x14ac:dyDescent="0.25">
      <c r="A11" t="s">
        <v>47</v>
      </c>
      <c r="B11" s="18">
        <f>-B6*Assumptions!B10</f>
        <v>-1232611996.019183</v>
      </c>
      <c r="C11" s="18">
        <f>-C6*Assumptions!B10</f>
        <v>-1508427639.511376</v>
      </c>
      <c r="D11" s="18">
        <f>-D6*Assumptions!B10</f>
        <v>-1845961219.7433543</v>
      </c>
      <c r="E11" s="18">
        <f>-E6*Assumptions!B10</f>
        <v>-2259023061.8554463</v>
      </c>
      <c r="F11" s="18">
        <f>-F6*Assumptions!B10</f>
        <v>-2764513760.860186</v>
      </c>
    </row>
    <row r="12" spans="1:6" x14ac:dyDescent="0.25">
      <c r="A12" t="s">
        <v>48</v>
      </c>
      <c r="B12" s="18">
        <f>-(B6-Assumptions!B29)*Assumptions!B11</f>
        <v>-95938903.49490018</v>
      </c>
      <c r="C12" s="18">
        <f>-(C6-B6)*Assumptions!B11</f>
        <v>-117406689.37467471</v>
      </c>
      <c r="D12" s="18">
        <f>-(D6-C6)*Assumptions!B11</f>
        <v>-143678218.19700164</v>
      </c>
      <c r="E12" s="18">
        <f>-(E6-D6)*Assumptions!B11</f>
        <v>-175828400.35959756</v>
      </c>
      <c r="F12" s="18">
        <f>-(F6-E6)*Assumptions!B11</f>
        <v>-215172673.77735412</v>
      </c>
    </row>
    <row r="13" spans="1:6" x14ac:dyDescent="0.25">
      <c r="A13" s="19" t="s">
        <v>49</v>
      </c>
      <c r="B13" s="20">
        <f>B9+B10+B11+B12</f>
        <v>911724135.2432759</v>
      </c>
      <c r="C13" s="20">
        <f>C9+C10+C11+C12</f>
        <v>1115736249.2431574</v>
      </c>
      <c r="D13" s="20">
        <f>D9+D10+D11+D12</f>
        <v>1365399170.378462</v>
      </c>
      <c r="E13" s="20">
        <f>E9+E10+E11+E12</f>
        <v>1670927959.6632457</v>
      </c>
      <c r="F13" s="20">
        <f>F9+F10+F11+F12</f>
        <v>2044823453.0642715</v>
      </c>
    </row>
    <row r="14" spans="1:6" x14ac:dyDescent="0.25">
      <c r="A14" t="s">
        <v>50</v>
      </c>
      <c r="B14" s="21">
        <f>1/(1+Assumptions!$B$26)^(1-0.5*Assumptions!$B$32)</f>
        <v>0.9522162112880146</v>
      </c>
      <c r="C14" s="21">
        <f>1/(1+Assumptions!$B$26)^(2-0.5*Assumptions!$B$32)</f>
        <v>0.8633894009859746</v>
      </c>
      <c r="D14" s="21">
        <f>1/(1+Assumptions!$B$26)^(3-0.5*Assumptions!$B$32)</f>
        <v>0.7828487363459181</v>
      </c>
      <c r="E14" s="21">
        <f>1/(1+Assumptions!$B$26)^(4-0.5*Assumptions!$B$32)</f>
        <v>0.7098212501781179</v>
      </c>
      <c r="F14" s="21">
        <f>1/(1+Assumptions!$B$26)^(5-0.5*Assumptions!$B$32)</f>
        <v>0.643606080985984</v>
      </c>
    </row>
    <row r="15" spans="1:6" x14ac:dyDescent="0.25">
      <c r="A15" s="19" t="s">
        <v>51</v>
      </c>
      <c r="B15" s="20">
        <f>B13*B14</f>
        <v>868158501.8011936</v>
      </c>
      <c r="C15" s="20">
        <f>C13*C14</f>
        <v>963314851.8923877</v>
      </c>
      <c r="D15" s="20">
        <f>D13*D14</f>
        <v>1068901015.138544</v>
      </c>
      <c r="E15" s="20">
        <f>E13*E14</f>
        <v>1186060173.2857368</v>
      </c>
      <c r="F15" s="20">
        <f>F13*F14</f>
        <v>1316060808.934923</v>
      </c>
    </row>
    <row r="17" spans="1:2" x14ac:dyDescent="0.25">
      <c r="A17" s="22" t="s">
        <v>52</v>
      </c>
      <c r="B17" s="23">
        <f>SUM(B15:F15)</f>
        <v>5402495351.052785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2044823453.0642715</v>
      </c>
    </row>
    <row r="5" spans="1:2" x14ac:dyDescent="0.25">
      <c r="A5" t="s">
        <v>56</v>
      </c>
      <c r="B5" s="18">
        <f>IF(Assumptions!$B$33=0,B4,B4-Forecast!F11-Forecast!F10-Forecast!F12)</f>
        <v>2935009598.539226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0.2429979749498409</v>
      </c>
    </row>
    <row r="7" spans="1:2" x14ac:dyDescent="0.25">
      <c r="A7" t="s">
        <v>58</v>
      </c>
      <c r="B7" s="18">
        <f>-MAX(Forecast!F9,0)*B6</f>
        <v>-713201388.9033774</v>
      </c>
    </row>
    <row r="8" spans="1:2" x14ac:dyDescent="0.25">
      <c r="A8" t="s">
        <v>59</v>
      </c>
      <c r="B8" s="18">
        <f>IF(OR(Assumptions!$B$33=0,Assumptions!B12&lt;=0),B5,MAX(B5+B7,0))</f>
        <v>2221808209.6358485</v>
      </c>
    </row>
    <row r="9" spans="1:2" x14ac:dyDescent="0.25">
      <c r="A9" t="s">
        <v>60</v>
      </c>
      <c r="B9" s="18">
        <f>B8*(1+Assumptions!B12)/(Assumptions!B26-Assumptions!B12)</f>
        <v>29241256945.03847</v>
      </c>
    </row>
    <row r="10" spans="1:2" x14ac:dyDescent="0.25">
      <c r="A10" t="s">
        <v>61</v>
      </c>
      <c r="B10" s="18">
        <f>B9/(1+Assumptions!B26)^(5-0.5*Assumptions!B32)</f>
        <v>18819850785.500397</v>
      </c>
    </row>
    <row r="11" spans="1:2" x14ac:dyDescent="0.25">
      <c r="A11" t="s">
        <v>62</v>
      </c>
      <c r="B11" s="18">
        <f>Forecast!B17+B10</f>
        <v>24222346136.55318</v>
      </c>
    </row>
    <row r="12" spans="1:2" x14ac:dyDescent="0.25">
      <c r="A12" t="s">
        <v>63</v>
      </c>
      <c r="B12" s="18">
        <f>-Assumptions!B30</f>
        <v>3881000000</v>
      </c>
    </row>
    <row r="13" spans="1:2" x14ac:dyDescent="0.25">
      <c r="A13" t="s">
        <v>64</v>
      </c>
      <c r="B13" s="18">
        <f>B11+B12</f>
        <v>28103346136.55318</v>
      </c>
    </row>
    <row r="14" spans="1:2" x14ac:dyDescent="0.25">
      <c r="A14" s="19" t="s">
        <v>65</v>
      </c>
      <c r="B14" s="24">
        <f>B13/Assumptions!B31</f>
        <v>26.841782365380308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5692788996.292282</v>
      </c>
    </row>
    <row r="18" spans="1:2" x14ac:dyDescent="0.25">
      <c r="A18" t="s">
        <v>60</v>
      </c>
      <c r="B18" s="18">
        <f>B17*Assumptions!B13</f>
        <v>113855779925.84564</v>
      </c>
    </row>
    <row r="19" spans="1:2" x14ac:dyDescent="0.25">
      <c r="A19" t="s">
        <v>61</v>
      </c>
      <c r="B19" s="18">
        <f>B18/(1+Assumptions!B26)^(5-0.5*Assumptions!B32)</f>
        <v>73278272315.6762</v>
      </c>
    </row>
    <row r="20" spans="1:2" x14ac:dyDescent="0.25">
      <c r="A20" t="s">
        <v>62</v>
      </c>
      <c r="B20" s="18">
        <f>Forecast!B17+B19</f>
        <v>78680767666.72897</v>
      </c>
    </row>
    <row r="21" spans="1:2" x14ac:dyDescent="0.25">
      <c r="A21" t="s">
        <v>63</v>
      </c>
      <c r="B21" s="18">
        <f>-Assumptions!B30</f>
        <v>3881000000</v>
      </c>
    </row>
    <row r="22" spans="1:2" x14ac:dyDescent="0.25">
      <c r="A22" t="s">
        <v>64</v>
      </c>
      <c r="B22" s="18">
        <f>B20+B21</f>
        <v>82561767666.72897</v>
      </c>
    </row>
    <row r="23" spans="1:2" x14ac:dyDescent="0.25">
      <c r="A23" s="19" t="s">
        <v>65</v>
      </c>
      <c r="B23" s="25">
        <f>B22/Assumptions!B31</f>
        <v>78.85555651072491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135.47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26.841782365380308</v>
      </c>
    </row>
    <row r="29" spans="1:2" x14ac:dyDescent="0.25">
      <c r="A29" s="19" t="s">
        <v>73</v>
      </c>
      <c r="B29" s="12">
        <f>B28/B26-1</f>
        <v>-0.8018617969633106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0.082882</v>
      </c>
      <c r="B5" s="31">
        <v>33.1985843012773</v>
      </c>
      <c r="C5" s="31">
        <v>33.35100549639449</v>
      </c>
      <c r="D5" s="31">
        <v>33.50963711096587</v>
      </c>
      <c r="E5" s="31">
        <v>33.67624073290062</v>
      </c>
      <c r="F5" s="31">
        <v>33.853313753921086</v>
      </c>
    </row>
    <row r="6" spans="1:6" x14ac:dyDescent="0.25">
      <c r="A6" s="30">
        <v>0.092882</v>
      </c>
      <c r="B6" s="31">
        <v>29.536807089666702</v>
      </c>
      <c r="C6" s="31">
        <v>29.637993353680645</v>
      </c>
      <c r="D6" s="31">
        <v>29.73917961769459</v>
      </c>
      <c r="E6" s="31">
        <v>29.84036588170853</v>
      </c>
      <c r="F6" s="31">
        <v>29.941552145722465</v>
      </c>
    </row>
    <row r="7" spans="1:6" x14ac:dyDescent="0.25">
      <c r="A7" s="30">
        <v>0.102882</v>
      </c>
      <c r="B7" s="31">
        <v>26.666291202610715</v>
      </c>
      <c r="C7" s="31">
        <v>26.753973663683052</v>
      </c>
      <c r="D7" s="32">
        <v>26.84165612475539</v>
      </c>
      <c r="E7" s="31">
        <v>26.929338585827725</v>
      </c>
      <c r="F7" s="31">
        <v>27.017021046900055</v>
      </c>
    </row>
    <row r="8" spans="1:6" x14ac:dyDescent="0.25">
      <c r="A8" s="30">
        <v>0.112882</v>
      </c>
      <c r="B8" s="31">
        <v>24.31957911305639</v>
      </c>
      <c r="C8" s="31">
        <v>24.396312986529566</v>
      </c>
      <c r="D8" s="31">
        <v>24.473046860002743</v>
      </c>
      <c r="E8" s="31">
        <v>24.549780733475924</v>
      </c>
      <c r="F8" s="31">
        <v>24.626514606949097</v>
      </c>
    </row>
    <row r="9" spans="1:6" x14ac:dyDescent="0.25">
      <c r="A9" s="30">
        <v>0.122882</v>
      </c>
      <c r="B9" s="31">
        <v>22.36805027452396</v>
      </c>
      <c r="C9" s="31">
        <v>22.43575843845093</v>
      </c>
      <c r="D9" s="31">
        <v>22.50346660237789</v>
      </c>
      <c r="E9" s="31">
        <v>22.571174766304853</v>
      </c>
      <c r="F9" s="31">
        <v>22.63888293023182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13278000000</v>
      </c>
      <c r="C5" s="18">
        <v>10984000000</v>
      </c>
      <c r="D5" s="18">
        <v>8971000000</v>
      </c>
      <c r="E5" s="18">
        <v>7245000000</v>
      </c>
      <c r="F5" s="8" t="s">
        <v>84</v>
      </c>
    </row>
    <row r="6" spans="1:6" x14ac:dyDescent="0.25">
      <c r="A6" t="s">
        <v>44</v>
      </c>
      <c r="B6" s="18">
        <v>1824000000</v>
      </c>
      <c r="C6" s="18">
        <v>1364000000</v>
      </c>
      <c r="D6" s="18">
        <v>762000000</v>
      </c>
      <c r="E6" s="18">
        <v>355000000</v>
      </c>
      <c r="F6" s="8" t="s">
        <v>85</v>
      </c>
    </row>
    <row r="7" spans="1:6" x14ac:dyDescent="0.25">
      <c r="A7" t="s">
        <v>86</v>
      </c>
      <c r="B7" s="18">
        <v>738000000</v>
      </c>
      <c r="C7" s="18">
        <v>564000000</v>
      </c>
      <c r="D7" s="18">
        <v>562000000</v>
      </c>
      <c r="E7" s="18">
        <v>433000000</v>
      </c>
      <c r="F7" s="8" t="s">
        <v>87</v>
      </c>
    </row>
    <row r="8" spans="1:6" x14ac:dyDescent="0.25">
      <c r="A8" t="s">
        <v>88</v>
      </c>
      <c r="B8" s="18">
        <v>911000000</v>
      </c>
      <c r="C8" s="18">
        <v>892000000</v>
      </c>
      <c r="D8" s="18">
        <v>697000000</v>
      </c>
      <c r="E8" s="18">
        <v>550000000</v>
      </c>
      <c r="F8" s="8" t="s">
        <v>89</v>
      </c>
    </row>
    <row r="9" spans="1:6" x14ac:dyDescent="0.25">
      <c r="A9" t="s">
        <v>90</v>
      </c>
      <c r="B9" s="18">
        <v>-29000000</v>
      </c>
      <c r="C9" s="18">
        <v>65000000</v>
      </c>
      <c r="D9" s="18">
        <v>101000000</v>
      </c>
      <c r="E9" s="18">
        <v>-174000000</v>
      </c>
      <c r="F9" s="8" t="s">
        <v>91</v>
      </c>
    </row>
    <row r="10" spans="1:6" x14ac:dyDescent="0.25">
      <c r="A10" t="s">
        <v>92</v>
      </c>
      <c r="B10" s="18">
        <v>2403000000</v>
      </c>
      <c r="C10" s="18">
        <v>2278000000</v>
      </c>
      <c r="D10" s="18">
        <v>2284000000</v>
      </c>
      <c r="E10" s="18">
        <v>2232000000</v>
      </c>
      <c r="F10" s="8" t="s">
        <v>93</v>
      </c>
    </row>
    <row r="11" spans="1:6" x14ac:dyDescent="0.25">
      <c r="A11" t="s">
        <v>94</v>
      </c>
      <c r="B11" s="18">
        <v>6284000000</v>
      </c>
      <c r="C11" s="18">
        <v>5762000000</v>
      </c>
      <c r="D11" s="18">
        <v>4877000000</v>
      </c>
      <c r="E11" s="18">
        <v>4280000000</v>
      </c>
      <c r="F11" s="8" t="s">
        <v>95</v>
      </c>
    </row>
    <row r="12" spans="1:6" x14ac:dyDescent="0.25">
      <c r="A12" t="s">
        <v>32</v>
      </c>
      <c r="B12" s="34">
        <v>1047000000</v>
      </c>
      <c r="C12" s="34">
        <v>1040000000</v>
      </c>
      <c r="D12" s="34">
        <v>1030000000</v>
      </c>
      <c r="E12" s="34">
        <v>1020000000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2026-09-19T01:03:09Z</dcterms:modified>
</cp:coreProperties>
</file>