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<sst xmlns="http://schemas.openxmlformats.org/spreadsheetml/2006/main" count="119" uniqueCount="106">
  <si>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NRG Energy, Inc. (NRG)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</si>
  <si>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</si>
  <si>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</si>
  <si>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</si>
  <si>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</si>
  <si>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</si>
  <si>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</si>
  <si>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</si>
  <si>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</si>
  <si>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</si>
  <si>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</si>
  <si>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</si>
  <si>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</si>
  <si>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</si>
  <si>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</si>
  <si>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</si>
  <si>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</si>
  <si>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</si>
  <si>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</si>
  <si>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</si>
  <si>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</si>
  <si>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</si>
  <si>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</si>
  <si>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</si>
  <si>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2.6x interest cover. Book interest / average debt was lower, at 5.4%.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</si>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</sst>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0.14966912414938305</v>
      </c>
    </row>
    <row r="7" spans="1:2" x14ac:dyDescent="0.25">
      <c r="A7" t="s">
        <v>4</v>
      </c>
      <c r="B7" s="5">
        <v>0.0446328524299138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0.03244735036204</v>
      </c>
    </row>
    <row r="10" spans="1:3" x14ac:dyDescent="0.25">
      <c r="A10" t="s">
        <v>7</v>
      </c>
      <c r="B10" s="5">
        <v>0.022050637538924084</v>
      </c>
      <c r="C10" s="6" t="s">
        <v>8</v>
      </c>
    </row>
    <row r="11" spans="1:2" x14ac:dyDescent="0.25">
      <c r="A11" t="s">
        <v>9</v>
      </c>
      <c r="B11" s="5">
        <v>0.05736178015594558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11.305218028169014</v>
      </c>
    </row>
    <row r="14" spans="1:3" x14ac:dyDescent="0.25">
      <c r="A14" t="s">
        <v>12</v>
      </c>
      <c r="B14" s="5">
        <v>0.1426701487812599</v>
      </c>
      <c r="C14" s="6" t="s">
        <v>13</v>
      </c>
    </row>
    <row r="15" spans="1:3" x14ac:dyDescent="0.25">
      <c r="A15" t="s">
        <v>14</v>
      </c>
      <c r="B15" s="5">
        <v>0.03244735036204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1.1078700000000001</v>
      </c>
      <c r="C19" s="6" t="s">
        <v>21</v>
      </c>
    </row>
    <row r="20" spans="1:2" x14ac:dyDescent="0.25">
      <c r="A20" t="s">
        <v>22</v>
      </c>
      <c r="B20" s="9">
        <f>B17+B19*B18</f>
        <v>0.09580290100000001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20192819200</v>
      </c>
    </row>
    <row r="23" spans="1:2" x14ac:dyDescent="0.25">
      <c r="A23" t="s">
        <v>26</v>
      </c>
      <c r="B23" s="10">
        <v>16622000000</v>
      </c>
    </row>
    <row r="24" spans="1:2" x14ac:dyDescent="0.25">
      <c r="A24" t="s">
        <v>27</v>
      </c>
      <c r="B24" s="9">
        <f>B22/(B22+B23)</f>
        <v>0.5484970356719828</v>
      </c>
    </row>
    <row r="25" spans="1:2" x14ac:dyDescent="0.25">
      <c r="A25" t="s">
        <v>28</v>
      </c>
      <c r="B25" s="9">
        <f>1-B24</f>
        <v>0.4515029643280172</v>
      </c>
    </row>
    <row r="26" spans="1:2" x14ac:dyDescent="0.25">
      <c r="A26" t="s">
        <v>29</v>
      </c>
      <c r="B26" s="11">
        <f>B24*B20+B25*B21*(1-B8)</f>
        <v>0.07396311521009723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30713000000</v>
      </c>
      <c r="C29" s="6" t="s">
        <v>32</v>
      </c>
    </row>
    <row r="30" spans="1:2" x14ac:dyDescent="0.25">
      <c r="A30" t="s">
        <v>33</v>
      </c>
      <c r="B30" s="10">
        <v>11914000000</v>
      </c>
    </row>
    <row r="31" spans="1:2" x14ac:dyDescent="0.25">
      <c r="A31" t="s">
        <v>34</v>
      </c>
      <c r="B31" s="12">
        <v>199000000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0.14966912414938305</v>
      </c>
      <c r="C5" s="5">
        <v>0.020629780442738888</v>
      </c>
      <c r="D5" s="5">
        <v>0.021176057887396526</v>
      </c>
      <c r="E5" s="5">
        <v>0.021722335332054164</v>
      </c>
      <c r="F5" s="5">
        <v>0.022268612776711806</v>
      </c>
      <c r="G5" s="5">
        <v>0.022814890221369444</v>
      </c>
      <c r="H5" s="5">
        <v>0.023361167666027083</v>
      </c>
      <c r="I5" s="5">
        <v>0.023907445110684725</v>
      </c>
      <c r="J5" s="5">
        <v>0.024453722555342363</v>
      </c>
      <c r="K5" s="5">
        <v>0.025</v>
      </c>
    </row>
    <row r="6" spans="1:11" x14ac:dyDescent="0.25">
      <c r="A6" t="s">
        <v>50</v>
      </c>
      <c r="B6" s="18">
        <f>Assumptions!B29*(1+B5)</f>
        <v>35309787810</v>
      </c>
      <c r="C6" s="18">
        <f>B6*(1+C5)</f>
        <v>36038220980</v>
      </c>
      <c r="D6" s="18">
        <f>C6*(1+D5)</f>
        <v>36801368433.63127</v>
      </c>
      <c r="E6" s="18">
        <f>D6*(1+E5)</f>
        <v>37600780099.42508</v>
      </c>
      <c r="F6" s="18">
        <f>E6*(1+F5)</f>
        <v>38438097311.56147</v>
      </c>
      <c r="G6" s="18">
        <f>F6*(1+G5)</f>
        <v>39315058282.04306</v>
      </c>
      <c r="H6" s="18">
        <f>G6*(1+H5)</f>
        <v>40233503950.36949</v>
      </c>
      <c r="I6" s="18">
        <f>H6*(1+I5)</f>
        <v>41195384237.67346</v>
      </c>
      <c r="J6" s="18">
        <f>I6*(1+J5)</f>
        <v>42202764734.38225</v>
      </c>
      <c r="K6" s="18">
        <f>J6*(1+K5)</f>
        <v>43257833852.7418</v>
      </c>
    </row>
    <row r="7" spans="1:11" x14ac:dyDescent="0.25">
      <c r="A7" t="s">
        <v>4</v>
      </c>
      <c r="B7" s="9">
        <f>Assumptions!B7</f>
        <v>0.0446328524299138</v>
      </c>
      <c r="C7" s="9">
        <f>Assumptions!B7</f>
        <v>0.0446328524299138</v>
      </c>
      <c r="D7" s="9">
        <f>Assumptions!B7</f>
        <v>0.0446328524299138</v>
      </c>
      <c r="E7" s="9">
        <f>Assumptions!B7</f>
        <v>0.0446328524299138</v>
      </c>
      <c r="F7" s="9">
        <f>Assumptions!B7</f>
        <v>0.0446328524299138</v>
      </c>
      <c r="G7" s="9">
        <f>Assumptions!B7</f>
        <v>0.0446328524299138</v>
      </c>
      <c r="H7" s="9">
        <f>Assumptions!B7</f>
        <v>0.0446328524299138</v>
      </c>
      <c r="I7" s="9">
        <f>Assumptions!B7</f>
        <v>0.0446328524299138</v>
      </c>
      <c r="J7" s="9">
        <f>Assumptions!B7</f>
        <v>0.0446328524299138</v>
      </c>
      <c r="K7" s="9">
        <f>Assumptions!B7</f>
        <v>0.0446328524299138</v>
      </c>
    </row>
    <row r="8" spans="1:11" x14ac:dyDescent="0.25">
      <c r="A8" t="s">
        <v>51</v>
      </c>
      <c r="B8" s="18">
        <f>B6*B7</f>
        <v>1575976548.6552992</v>
      </c>
      <c r="C8" s="18">
        <f>C6*C7</f>
        <v>1608488598.8369634</v>
      </c>
      <c r="D8" s="18">
        <f>D6*D7</f>
        <v>1642550046.5171525</v>
      </c>
      <c r="E8" s="18">
        <f>E6*E7</f>
        <v>1678230069.427279</v>
      </c>
      <c r="F8" s="18">
        <f>F6*F7</f>
        <v>1715601924.9935894</v>
      </c>
      <c r="G8" s="18">
        <f>G6*G7</f>
        <v>1754743194.5758882</v>
      </c>
      <c r="H8" s="18">
        <f>H6*H7</f>
        <v>1795736044.5551953</v>
      </c>
      <c r="I8" s="18">
        <f>I6*I7</f>
        <v>1838667505.4736767</v>
      </c>
      <c r="J8" s="18">
        <f>J6*J7</f>
        <v>1883629770.524053</v>
      </c>
      <c r="K8" s="18">
        <f>K6*K7</f>
        <v>1930720514.7871542</v>
      </c>
    </row>
    <row r="9" spans="1:11" x14ac:dyDescent="0.25">
      <c r="A9" t="s">
        <v>52</v>
      </c>
      <c r="B9" s="18">
        <f>B8*(1-Assumptions!B8)</f>
        <v>1245021473.4376864</v>
      </c>
      <c r="C9" s="18">
        <f>C8*(1-Assumptions!B8)</f>
        <v>1270705993.081201</v>
      </c>
      <c r="D9" s="18">
        <f>D8*(1-Assumptions!B8)</f>
        <v>1297614536.7485507</v>
      </c>
      <c r="E9" s="18">
        <f>E8*(1-Assumptions!B8)</f>
        <v>1325801754.8475504</v>
      </c>
      <c r="F9" s="18">
        <f>F8*(1-Assumptions!B8)</f>
        <v>1355325520.7449358</v>
      </c>
      <c r="G9" s="18">
        <f>G8*(1-Assumptions!B8)</f>
        <v>1386247123.7149518</v>
      </c>
      <c r="H9" s="18">
        <f>H8*(1-Assumptions!B8)</f>
        <v>1418631475.1986043</v>
      </c>
      <c r="I9" s="18">
        <f>I8*(1-Assumptions!B8)</f>
        <v>1452547329.3242047</v>
      </c>
      <c r="J9" s="18">
        <f>J8*(1-Assumptions!B8)</f>
        <v>1488067518.7140021</v>
      </c>
      <c r="K9" s="18">
        <f>K8*(1-Assumptions!B8)</f>
        <v>1525269206.6818519</v>
      </c>
    </row>
    <row r="10" spans="1:11" x14ac:dyDescent="0.25">
      <c r="A10" t="s">
        <v>53</v>
      </c>
      <c r="B10" s="18">
        <f>B6*Assumptions!B9</f>
        <v>1145709056.280359</v>
      </c>
      <c r="C10" s="18">
        <f>C6*Assumptions!B9</f>
        <v>1169344782.5626805</v>
      </c>
      <c r="D10" s="18">
        <f>D6*Assumptions!B9</f>
        <v>1194106895.3685532</v>
      </c>
      <c r="E10" s="18">
        <f>E6*Assumptions!B9</f>
        <v>1220045685.7720668</v>
      </c>
      <c r="F10" s="18">
        <f>F6*Assumptions!B9</f>
        <v>1247214410.718423</v>
      </c>
      <c r="G10" s="18">
        <f>G6*Assumptions!B9</f>
        <v>1275669470.5814736</v>
      </c>
      <c r="H10" s="18">
        <f>H6*Assumptions!B9</f>
        <v>1305470598.9701593</v>
      </c>
      <c r="I10" s="18">
        <f>I6*Assumptions!B9</f>
        <v>1336681065.6586509</v>
      </c>
      <c r="J10" s="18">
        <f>J6*Assumptions!B9</f>
        <v>1369367893.583247</v>
      </c>
      <c r="K10" s="18">
        <f>K6*Assumptions!B9</f>
        <v>1403602090.922828</v>
      </c>
    </row>
    <row r="11" spans="1:11" x14ac:dyDescent="0.25">
      <c r="A11" t="s">
        <v>54</v>
      </c>
      <c r="B11" s="18">
        <f>-B6*B19</f>
        <v>-778603332.57463</v>
      </c>
      <c r="C11" s="18">
        <f>-C6*C19</f>
        <v>-861037308.62609</v>
      </c>
      <c r="D11" s="18">
        <f>-D6*D19</f>
        <v>-947047732.7671231</v>
      </c>
      <c r="E11" s="18">
        <f>-E6*E19</f>
        <v>-1036869145.214022</v>
      </c>
      <c r="F11" s="18">
        <f>-F6*F19</f>
        <v>-1130750193.1108396</v>
      </c>
      <c r="G11" s="18">
        <f>-G6*G19</f>
        <v>-1228954643.293318</v>
      </c>
      <c r="H11" s="18">
        <f>-H6*H19</f>
        <v>-1331762468.016989</v>
      </c>
      <c r="I11" s="18">
        <f>-I6*I19</f>
        <v>-1439471009.4582303</v>
      </c>
      <c r="J11" s="18">
        <f>-J6*J19</f>
        <v>-1552396229.2716415</v>
      </c>
      <c r="K11" s="18">
        <f>-K6*K19</f>
        <v>-1670874050.0031354</v>
      </c>
    </row>
    <row r="12" spans="1:11" x14ac:dyDescent="0.25">
      <c r="A12" t="s">
        <v>55</v>
      </c>
      <c r="B12" s="18">
        <f>-(B6-Assumptions!B29)*Assumptions!B11</f>
        <v>-263679931.7807505</v>
      </c>
      <c r="C12" s="18">
        <f>-(C6-B6)*Assumptions!B11</f>
        <v>-41784223.35583853</v>
      </c>
      <c r="D12" s="18">
        <f>-(D6-C6)*Assumptions!B11</f>
        <v>-43775496.46176666</v>
      </c>
      <c r="E12" s="18">
        <f>-(E6-D6)*Assumptions!B11</f>
        <v>-45855676.227362655</v>
      </c>
      <c r="F12" s="18">
        <f>-(F6-E6)*Assumptions!B11</f>
        <v>-48030005.843356885</v>
      </c>
      <c r="G12" s="18">
        <f>-(G6-F6)*Assumptions!B11</f>
        <v>-50304042.39410966</v>
      </c>
      <c r="H12" s="18">
        <f>-(H6-G6)*Assumptions!B11</f>
        <v>-52683678.51172126</v>
      </c>
      <c r="I12" s="18">
        <f>-(I6-H6)*Assumptions!B11</f>
        <v>-55175165.57666811</v>
      </c>
      <c r="J12" s="18">
        <f>-(J6-I6)*Assumptions!B11</f>
        <v>-57785138.58559664</v>
      </c>
      <c r="K12" s="18">
        <f>-(K6-J6)*Assumptions!B11</f>
        <v>-60520642.816667855</v>
      </c>
    </row>
    <row r="13" spans="1:11" x14ac:dyDescent="0.25">
      <c r="A13" s="19" t="s">
        <v>56</v>
      </c>
      <c r="B13" s="20">
        <f>B9+B10+B11+B12</f>
        <v>1348447265.3626647</v>
      </c>
      <c r="C13" s="20">
        <f>C9+C10+C11+C12</f>
        <v>1537229243.6619532</v>
      </c>
      <c r="D13" s="20">
        <f>D9+D10+D11+D12</f>
        <v>1500898202.8882136</v>
      </c>
      <c r="E13" s="20">
        <f>E9+E10+E11+E12</f>
        <v>1463122619.1782327</v>
      </c>
      <c r="F13" s="20">
        <f>F9+F10+F11+F12</f>
        <v>1423759732.5091624</v>
      </c>
      <c r="G13" s="20">
        <f>G9+G10+G11+G12</f>
        <v>1382657908.6089976</v>
      </c>
      <c r="H13" s="20">
        <f>H9+H10+H11+H12</f>
        <v>1339655927.6400533</v>
      </c>
      <c r="I13" s="20">
        <f>I9+I10+I11+I12</f>
        <v>1294582219.9479575</v>
      </c>
      <c r="J13" s="20">
        <f>J9+J10+J11+J12</f>
        <v>1247254044.4400108</v>
      </c>
      <c r="K13" s="20">
        <f>K9+K10+K11+K12</f>
        <v>1197476604.7848768</v>
      </c>
    </row>
    <row r="14" spans="1:11" x14ac:dyDescent="0.25">
      <c r="A14" t="s">
        <v>57</v>
      </c>
      <c r="B14" s="21">
        <f>1/(1+Assumptions!$B$26)^(1-0.5*Assumptions!$B$32)</f>
        <v>0.9649511255168447</v>
      </c>
      <c r="C14" s="21">
        <f>1/(1+Assumptions!$B$26)^(2-0.5*Assumptions!$B$32)</f>
        <v>0.8984955924934844</v>
      </c>
      <c r="D14" s="21">
        <f>1/(1+Assumptions!$B$26)^(3-0.5*Assumptions!$B$32)</f>
        <v>0.8366168071961332</v>
      </c>
      <c r="E14" s="21">
        <f>1/(1+Assumptions!$B$26)^(4-0.5*Assumptions!$B$32)</f>
        <v>0.7789995720965402</v>
      </c>
      <c r="F14" s="21">
        <f>1/(1+Assumptions!$B$26)^(5-0.5*Assumptions!$B$32)</f>
        <v>0.7253503971075824</v>
      </c>
      <c r="G14" s="21">
        <f>1/(1+Assumptions!$B$26)^(6-0.5*Assumptions!$B$32)</f>
        <v>0.6753960046064371</v>
      </c>
      <c r="H14" s="21">
        <f>1/(1+Assumptions!$B$26)^(7-0.5*Assumptions!$B$32)</f>
        <v>0.628881937415803</v>
      </c>
      <c r="I14" s="21">
        <f>1/(1+Assumptions!$B$26)^(8-0.5*Assumptions!$B$32)</f>
        <v>0.585571262652513</v>
      </c>
      <c r="J14" s="21">
        <f>1/(1+Assumptions!$B$26)^(9-0.5*Assumptions!$B$32)</f>
        <v>0.5452433648412207</v>
      </c>
      <c r="K14" s="21">
        <f>1/(1+Assumptions!$B$26)^(10-0.5*Assumptions!$B$32)</f>
        <v>0.5076928221455314</v>
      </c>
    </row>
    <row r="15" spans="1:11" x14ac:dyDescent="0.25">
      <c r="A15" s="19" t="s">
        <v>58</v>
      </c>
      <c r="B15" s="20">
        <f>B13*B14</f>
        <v>1301185706.4118147</v>
      </c>
      <c r="C15" s="20">
        <f>C13*C14</f>
        <v>1381193700.0823576</v>
      </c>
      <c r="D15" s="20">
        <f>D13*D14</f>
        <v>1255676662.4267514</v>
      </c>
      <c r="E15" s="20">
        <f>E13*E14</f>
        <v>1139771894.2646124</v>
      </c>
      <c r="F15" s="20">
        <f>F13*F14</f>
        <v>1032724687.3613063</v>
      </c>
      <c r="G15" s="20">
        <f>G13*G14</f>
        <v>933841627.2120092</v>
      </c>
      <c r="H15" s="20">
        <f>H13*H14</f>
        <v>842485415.2448415</v>
      </c>
      <c r="I15" s="20">
        <f>I13*I14</f>
        <v>758070145.1424189</v>
      </c>
      <c r="J15" s="20">
        <f>J13*J14</f>
        <v>680056992.0022929</v>
      </c>
      <c r="K15" s="20">
        <f>K13*K14</f>
        <v>607950276.9364833</v>
      </c>
    </row>
    <row r="17" spans="1:2" x14ac:dyDescent="0.25">
      <c r="A17" s="22" t="s">
        <v>59</v>
      </c>
      <c r="B17" s="23">
        <f>SUM(B15:K15)</f>
        <v>9932957107.084887</v>
      </c>
    </row>
    <row r="19" spans="1:11" x14ac:dyDescent="0.25">
      <c r="A19" t="s">
        <v>7</v>
      </c>
      <c r="B19" s="9">
        <f>Assumptions!$B$10+($B$20-Assumptions!$B$10)*0/9</f>
        <v>0.022050637538924084</v>
      </c>
      <c r="C19" s="9">
        <f>Assumptions!$B$10+($B$20-Assumptions!$B$10)*1/9</f>
        <v>0.023892336669558045</v>
      </c>
      <c r="D19" s="9">
        <f>Assumptions!$B$10+($B$20-Assumptions!$B$10)*2/9</f>
        <v>0.025734035800192005</v>
      </c>
      <c r="E19" s="9">
        <f>Assumptions!$B$10+($B$20-Assumptions!$B$10)*3/9</f>
        <v>0.027575734930825966</v>
      </c>
      <c r="F19" s="9">
        <f>Assumptions!$B$10+($B$20-Assumptions!$B$10)*4/9</f>
        <v>0.029417434061459927</v>
      </c>
      <c r="G19" s="9">
        <f>Assumptions!$B$10+($B$20-Assumptions!$B$10)*5/9</f>
        <v>0.03125913319209389</v>
      </c>
      <c r="H19" s="9">
        <f>Assumptions!$B$10+($B$20-Assumptions!$B$10)*6/9</f>
        <v>0.03310083232272785</v>
      </c>
      <c r="I19" s="9">
        <f>Assumptions!$B$10+($B$20-Assumptions!$B$10)*7/9</f>
        <v>0.03494253145336181</v>
      </c>
      <c r="J19" s="9">
        <f>Assumptions!$B$10+($B$20-Assumptions!$B$10)*8/9</f>
        <v>0.03678423058399577</v>
      </c>
      <c r="K19" s="9">
        <f>Assumptions!$B$10+($B$20-Assumptions!$B$10)*9/9</f>
        <v>0.038625929714629734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0.038625929714629734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1197476604.7848768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1525269206.6818519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0.1752293679761258</v>
      </c>
    </row>
    <row r="7" spans="1:2" x14ac:dyDescent="0.25">
      <c r="A7" t="s">
        <v>66</v>
      </c>
      <c r="B7" s="18">
        <f>-MAX(B5,0)*B6</f>
        <v>-267271959.0803077</v>
      </c>
    </row>
    <row r="8" spans="1:2" x14ac:dyDescent="0.25">
      <c r="A8" t="s">
        <v>67</v>
      </c>
      <c r="B8" s="18">
        <f>IF(OR(Assumptions!$B$33=0,Assumptions!B12&lt;=0),B5,MAX(B5+B7,0))</f>
        <v>1257997247.6015441</v>
      </c>
    </row>
    <row r="9" spans="1:2" x14ac:dyDescent="0.25">
      <c r="A9" t="s">
        <v>68</v>
      </c>
      <c r="B9" s="18">
        <f>B8*(1+Assumptions!B12)/(Assumptions!B26-Assumptions!B12)</f>
        <v>26335072293.881977</v>
      </c>
    </row>
    <row r="10" spans="1:2" x14ac:dyDescent="0.25">
      <c r="A10" t="s">
        <v>69</v>
      </c>
      <c r="B10" s="18">
        <f>B9/(1+Assumptions!B26)^(10-0.5*Assumptions!B32)</f>
        <v>13370127174.287533</v>
      </c>
    </row>
    <row r="11" spans="1:2" x14ac:dyDescent="0.25">
      <c r="A11" t="s">
        <v>70</v>
      </c>
      <c r="B11" s="18">
        <f>Forecast!B17+B10</f>
        <v>23303084281.37242</v>
      </c>
    </row>
    <row r="12" spans="1:2" x14ac:dyDescent="0.25">
      <c r="A12" t="s">
        <v>71</v>
      </c>
      <c r="B12" s="18">
        <f>-Assumptions!B30</f>
        <v>-11914000000</v>
      </c>
    </row>
    <row r="13" spans="1:2" x14ac:dyDescent="0.25">
      <c r="A13" t="s">
        <v>72</v>
      </c>
      <c r="B13" s="18">
        <f>B11+B12</f>
        <v>11389084281.372421</v>
      </c>
    </row>
    <row r="14" spans="1:2" x14ac:dyDescent="0.25">
      <c r="A14" s="19" t="s">
        <v>73</v>
      </c>
      <c r="B14" s="24">
        <f>B13/Assumptions!B31</f>
        <v>57.231579303379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3334322605.709982</v>
      </c>
    </row>
    <row r="18" spans="1:2" x14ac:dyDescent="0.25">
      <c r="A18" t="s">
        <v>68</v>
      </c>
      <c r="B18" s="18">
        <f>B17*Assumptions!B13</f>
        <v>37695244033.80397</v>
      </c>
    </row>
    <row r="19" spans="1:2" x14ac:dyDescent="0.25">
      <c r="A19" t="s">
        <v>69</v>
      </c>
      <c r="B19" s="18">
        <f>B18/(1+Assumptions!B26)^(10-0.5*Assumptions!B32)</f>
        <v>19137604824.986443</v>
      </c>
    </row>
    <row r="20" spans="1:2" x14ac:dyDescent="0.25">
      <c r="A20" t="s">
        <v>70</v>
      </c>
      <c r="B20" s="18">
        <f>Forecast!B17+B19</f>
        <v>29070561932.071327</v>
      </c>
    </row>
    <row r="21" spans="1:2" x14ac:dyDescent="0.25">
      <c r="A21" t="s">
        <v>71</v>
      </c>
      <c r="B21" s="18">
        <f>-Assumptions!B30</f>
        <v>-11914000000</v>
      </c>
    </row>
    <row r="22" spans="1:2" x14ac:dyDescent="0.25">
      <c r="A22" t="s">
        <v>72</v>
      </c>
      <c r="B22" s="18">
        <f>B20+B21</f>
        <v>17156561932.071327</v>
      </c>
    </row>
    <row r="23" spans="1:2" x14ac:dyDescent="0.25">
      <c r="A23" s="19" t="s">
        <v>73</v>
      </c>
      <c r="B23" s="25">
        <f>B22/Assumptions!B31</f>
        <v>86.2138790556348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96.06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57.231579303379</v>
      </c>
    </row>
    <row r="29" spans="1:2" x14ac:dyDescent="0.25">
      <c r="A29" s="19" t="s">
        <v>81</v>
      </c>
      <c r="B29" s="11">
        <f>B28/B26-1</f>
        <v>-0.4042100842871227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0.053963</v>
      </c>
      <c r="B5" s="31">
        <v>104.49654888595286</v>
      </c>
      <c r="C5" s="31">
        <v>115.29644739754559</v>
      </c>
      <c r="D5" s="31">
        <v>130.07349028256954</v>
      </c>
      <c r="E5" s="31">
        <v>151.3172308357489</v>
      </c>
      <c r="F5" s="31">
        <v>184.14291796402492</v>
      </c>
    </row>
    <row r="6" spans="1:6" x14ac:dyDescent="0.25">
      <c r="A6" s="30">
        <v>0.063963</v>
      </c>
      <c r="B6" s="31">
        <v>72.64469204850252</v>
      </c>
      <c r="C6" s="31">
        <v>77.76386609790875</v>
      </c>
      <c r="D6" s="31">
        <v>84.37124015414555</v>
      </c>
      <c r="E6" s="31">
        <v>93.1240883126244</v>
      </c>
      <c r="F6" s="31">
        <v>105.13355622585469</v>
      </c>
    </row>
    <row r="7" spans="1:6" x14ac:dyDescent="0.25">
      <c r="A7" s="30">
        <v>0.073963</v>
      </c>
      <c r="B7" s="31">
        <v>51.545200408664016</v>
      </c>
      <c r="C7" s="31">
        <v>54.06555409202903</v>
      </c>
      <c r="D7" s="32">
        <v>57.231828695662685</v>
      </c>
      <c r="E7" s="31">
        <v>61.264409857579544</v>
      </c>
      <c r="F7" s="31">
        <v>66.49680881598626</v>
      </c>
    </row>
    <row r="8" spans="1:6" x14ac:dyDescent="0.25">
      <c r="A8" s="30">
        <v>0.083963</v>
      </c>
      <c r="B8" s="31">
        <v>36.52333514813662</v>
      </c>
      <c r="C8" s="31">
        <v>37.717127549651295</v>
      </c>
      <c r="D8" s="31">
        <v>39.216464026637</v>
      </c>
      <c r="E8" s="31">
        <v>41.106276127229854</v>
      </c>
      <c r="F8" s="31">
        <v>43.50618753368194</v>
      </c>
    </row>
    <row r="9" spans="1:6" x14ac:dyDescent="0.25">
      <c r="A9" s="30">
        <v>0.093963</v>
      </c>
      <c r="B9" s="31">
        <v>25.272258858877183</v>
      </c>
      <c r="C9" s="31">
        <v>25.740758420884003</v>
      </c>
      <c r="D9" s="31">
        <v>26.36066511555985</v>
      </c>
      <c r="E9" s="31">
        <v>27.16748551686217</v>
      </c>
      <c r="F9" s="31">
        <v>28.20876987832958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30713000000</v>
      </c>
      <c r="C5" s="18">
        <v>28130000000</v>
      </c>
      <c r="D5" s="18">
        <v>28823000000</v>
      </c>
      <c r="E5" s="18">
        <v>31543000000</v>
      </c>
      <c r="F5" s="6" t="s">
        <v>91</v>
      </c>
    </row>
    <row r="6" spans="1:6" x14ac:dyDescent="0.25">
      <c r="A6" t="s">
        <v>51</v>
      </c>
      <c r="B6" s="18">
        <v>1944000000</v>
      </c>
      <c r="C6" s="18">
        <v>2282000000</v>
      </c>
      <c r="D6" s="18">
        <v>-1049000000</v>
      </c>
      <c r="E6" s="18">
        <v>2224000000</v>
      </c>
      <c r="F6" s="6" t="s">
        <v>92</v>
      </c>
    </row>
    <row r="7" spans="1:6" x14ac:dyDescent="0.25">
      <c r="A7" t="s">
        <v>93</v>
      </c>
      <c r="B7" s="18">
        <v>896000000</v>
      </c>
      <c r="C7" s="18">
        <v>1071000000</v>
      </c>
      <c r="D7" s="18">
        <v>1174000000</v>
      </c>
      <c r="E7" s="18">
        <v>688000000</v>
      </c>
      <c r="F7" s="6" t="s">
        <v>94</v>
      </c>
    </row>
    <row r="8" spans="1:6" x14ac:dyDescent="0.25">
      <c r="A8" t="s">
        <v>95</v>
      </c>
      <c r="B8" s="18">
        <v>1148000000</v>
      </c>
      <c r="C8" s="18">
        <v>490000000</v>
      </c>
      <c r="D8" s="18">
        <v>622000000</v>
      </c>
      <c r="E8" s="18">
        <v>373000000</v>
      </c>
      <c r="F8" s="6" t="s">
        <v>96</v>
      </c>
    </row>
    <row r="9" spans="1:6" x14ac:dyDescent="0.25">
      <c r="A9" t="s">
        <v>97</v>
      </c>
      <c r="B9" s="18">
        <v>906000000</v>
      </c>
      <c r="C9" s="18">
        <v>1036000000</v>
      </c>
      <c r="D9" s="18">
        <v>219000000</v>
      </c>
      <c r="E9" s="18">
        <v>2710000000</v>
      </c>
      <c r="F9" s="6" t="s">
        <v>98</v>
      </c>
    </row>
    <row r="10" spans="1:6" x14ac:dyDescent="0.25">
      <c r="A10" t="s">
        <v>99</v>
      </c>
      <c r="B10" s="18">
        <v>16622000000</v>
      </c>
      <c r="C10" s="18">
        <v>10991000000</v>
      </c>
      <c r="D10" s="18">
        <v>10971000000</v>
      </c>
      <c r="E10" s="18">
        <v>8302000000</v>
      </c>
      <c r="F10" s="6" t="s">
        <v>100</v>
      </c>
    </row>
    <row r="11" spans="1:6" x14ac:dyDescent="0.25">
      <c r="A11" t="s">
        <v>101</v>
      </c>
      <c r="B11" s="18">
        <v>4708000000</v>
      </c>
      <c r="C11" s="18">
        <v>966000000</v>
      </c>
      <c r="D11" s="18">
        <v>541000000</v>
      </c>
      <c r="E11" s="18">
        <v>430000000</v>
      </c>
      <c r="F11" s="6" t="s">
        <v>102</v>
      </c>
    </row>
    <row r="12" spans="1:6" x14ac:dyDescent="0.25">
      <c r="A12" t="s">
        <v>34</v>
      </c>
      <c r="B12" s="34">
        <v>199000000</v>
      </c>
      <c r="C12" s="34">
        <v>212000000</v>
      </c>
      <c r="D12" s="34">
        <v>228000000</v>
      </c>
      <c r="E12" s="34">
        <v>236000000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