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<sst xmlns="http://schemas.openxmlformats.org/spreadsheetml/2006/main" count="111" uniqueCount="99">
  <si>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NRG Energy, Inc. (NRG)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</si>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</sst>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-0.008849172407267458</v>
      </c>
    </row>
    <row r="7" spans="1:2" x14ac:dyDescent="0.25">
      <c r="A7" t="s">
        <v>5</v>
      </c>
      <c r="B7" s="6">
        <v>0.0446328524299138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0.03244735036204</v>
      </c>
    </row>
    <row r="10" spans="1:2" x14ac:dyDescent="0.25">
      <c r="A10" t="s">
        <v>8</v>
      </c>
      <c r="B10" s="6">
        <v>0.022050637538924084</v>
      </c>
    </row>
    <row r="11" spans="1:2" x14ac:dyDescent="0.25">
      <c r="A11" t="s">
        <v>9</v>
      </c>
      <c r="B11" s="6">
        <v>-0.08051470588235295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11.867753149295774</v>
      </c>
    </row>
    <row r="14" spans="1:3" x14ac:dyDescent="0.25">
      <c r="A14" t="s">
        <v>12</v>
      </c>
      <c r="B14" s="6">
        <v>0.1426701487812599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1.11591</v>
      </c>
      <c r="C19" s="8" t="s">
        <v>19</v>
      </c>
    </row>
    <row r="20" spans="1:2" x14ac:dyDescent="0.25">
      <c r="A20" t="s">
        <v>20</v>
      </c>
      <c r="B20" s="10">
        <f>B17+B19*B18</f>
        <v>0.11135505000000001</v>
      </c>
    </row>
    <row r="21" spans="1:3" x14ac:dyDescent="0.25">
      <c r="A21" t="s">
        <v>21</v>
      </c>
      <c r="B21" s="6">
        <v>0.05367037265056314</v>
      </c>
      <c r="C21" s="8" t="s">
        <v>22</v>
      </c>
    </row>
    <row r="22" spans="1:2" x14ac:dyDescent="0.25">
      <c r="A22" t="s">
        <v>23</v>
      </c>
      <c r="B22" s="11">
        <v>21790418944</v>
      </c>
    </row>
    <row r="23" spans="1:2" x14ac:dyDescent="0.25">
      <c r="A23" t="s">
        <v>24</v>
      </c>
      <c r="B23" s="11">
        <v>16622000000</v>
      </c>
    </row>
    <row r="24" spans="1:2" x14ac:dyDescent="0.25">
      <c r="A24" t="s">
        <v>25</v>
      </c>
      <c r="B24" s="10">
        <f>B22/(B22+B23)</f>
        <v>0.5672753641411498</v>
      </c>
    </row>
    <row r="25" spans="1:2" x14ac:dyDescent="0.25">
      <c r="A25" t="s">
        <v>26</v>
      </c>
      <c r="B25" s="10">
        <f>1-B24</f>
        <v>0.43272463585885024</v>
      </c>
    </row>
    <row r="26" spans="1:2" x14ac:dyDescent="0.25">
      <c r="A26" t="s">
        <v>27</v>
      </c>
      <c r="B26" s="12">
        <f>B24*B20+B25*B21*(1-B8)</f>
        <v>0.0815163255823887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30713000000</v>
      </c>
      <c r="C29" s="8" t="s">
        <v>30</v>
      </c>
    </row>
    <row r="30" spans="1:2" x14ac:dyDescent="0.25">
      <c r="A30" t="s">
        <v>31</v>
      </c>
      <c r="B30" s="11">
        <v>11914000000</v>
      </c>
    </row>
    <row r="31" spans="1:2" x14ac:dyDescent="0.25">
      <c r="A31" t="s">
        <v>32</v>
      </c>
      <c r="B31" s="13">
        <v>199000000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-0.008849172407267458</v>
      </c>
      <c r="C5" s="10">
        <f>Assumptions!B6</f>
        <v>-0.008849172407267458</v>
      </c>
      <c r="D5" s="10">
        <f>Assumptions!B6</f>
        <v>-0.008849172407267458</v>
      </c>
      <c r="E5" s="10">
        <f>Assumptions!B6</f>
        <v>-0.008849172407267458</v>
      </c>
      <c r="F5" s="10">
        <f>Assumptions!B6</f>
        <v>-0.008849172407267458</v>
      </c>
    </row>
    <row r="6" spans="1:6" x14ac:dyDescent="0.25">
      <c r="A6" t="s">
        <v>43</v>
      </c>
      <c r="B6" s="18">
        <f>Assumptions!B29*(1+B5)</f>
        <v>30441215367.855595</v>
      </c>
      <c r="C6" s="18">
        <f>B6*(1+C5)</f>
        <v>30171835804.77868</v>
      </c>
      <c r="D6" s="18">
        <f>C6*(1+D5)</f>
        <v>29904840027.898426</v>
      </c>
      <c r="E6" s="18">
        <f>D6*(1+E5)</f>
        <v>29640206942.6798</v>
      </c>
      <c r="F6" s="18">
        <f>E6*(1+F5)</f>
        <v>29377915641.25694</v>
      </c>
    </row>
    <row r="7" spans="1:6" x14ac:dyDescent="0.25">
      <c r="A7" t="s">
        <v>5</v>
      </c>
      <c r="B7" s="10">
        <f>Assumptions!B7</f>
        <v>0.0446328524299138</v>
      </c>
      <c r="C7" s="10">
        <f>Assumptions!B7</f>
        <v>0.0446328524299138</v>
      </c>
      <c r="D7" s="10">
        <f>Assumptions!B7</f>
        <v>0.0446328524299138</v>
      </c>
      <c r="E7" s="10">
        <f>Assumptions!B7</f>
        <v>0.0446328524299138</v>
      </c>
      <c r="F7" s="10">
        <f>Assumptions!B7</f>
        <v>0.0446328524299138</v>
      </c>
    </row>
    <row r="8" spans="1:6" x14ac:dyDescent="0.25">
      <c r="A8" t="s">
        <v>44</v>
      </c>
      <c r="B8" s="18">
        <f>B6*B7</f>
        <v>1358678273.3007228</v>
      </c>
      <c r="C8" s="18">
        <f>C6*C7</f>
        <v>1346655095.0142763</v>
      </c>
      <c r="D8" s="18">
        <f>D6*D7</f>
        <v>1334738311.9053698</v>
      </c>
      <c r="E8" s="18">
        <f>E6*E7</f>
        <v>1322926982.4647338</v>
      </c>
      <c r="F8" s="18">
        <f>F6*F7</f>
        <v>1311220173.5146773</v>
      </c>
    </row>
    <row r="9" spans="1:6" x14ac:dyDescent="0.25">
      <c r="A9" t="s">
        <v>45</v>
      </c>
      <c r="B9" s="18">
        <f>B8*(1-Assumptions!B8)</f>
        <v>1073355835.9075711</v>
      </c>
      <c r="C9" s="18">
        <f>C8*(1-Assumptions!B8)</f>
        <v>1063857525.0612783</v>
      </c>
      <c r="D9" s="18">
        <f>D8*(1-Assumptions!B8)</f>
        <v>1054443266.4052422</v>
      </c>
      <c r="E9" s="18">
        <f>E8*(1-Assumptions!B8)</f>
        <v>1045112316.1471398</v>
      </c>
      <c r="F9" s="18">
        <f>F8*(1-Assumptions!B8)</f>
        <v>1035863937.0765951</v>
      </c>
    </row>
    <row r="10" spans="1:6" x14ac:dyDescent="0.25">
      <c r="A10" t="s">
        <v>46</v>
      </c>
      <c r="B10" s="18">
        <f>B6*Assumptions!B9</f>
        <v>987736780.487127</v>
      </c>
      <c r="C10" s="18">
        <f>C6*Assumptions!B9</f>
        <v>978996127.423597</v>
      </c>
      <c r="D10" s="18">
        <f>D6*Assumptions!B9</f>
        <v>970332821.9059783</v>
      </c>
      <c r="E10" s="18">
        <f>E6*Assumptions!B9</f>
        <v>961746179.4725019</v>
      </c>
      <c r="F10" s="18">
        <f>F6*Assumptions!B9</f>
        <v>953235521.7183189</v>
      </c>
    </row>
    <row r="11" spans="1:6" x14ac:dyDescent="0.25">
      <c r="A11" t="s">
        <v>47</v>
      </c>
      <c r="B11" s="18">
        <f>-B6*Assumptions!B10</f>
        <v>-671248206.3209093</v>
      </c>
      <c r="C11" s="18">
        <f>-C6*Assumptions!B10</f>
        <v>-665308215.2151065</v>
      </c>
      <c r="D11" s="18">
        <f>-D6*Assumptions!B10</f>
        <v>-659420788.1146966</v>
      </c>
      <c r="E11" s="18">
        <f>-E6*Assumptions!B10</f>
        <v>-653585459.8717334</v>
      </c>
      <c r="F11" s="18">
        <f>-F6*Assumptions!B10</f>
        <v>-647801769.4544452</v>
      </c>
    </row>
    <row r="12" spans="1:6" x14ac:dyDescent="0.25">
      <c r="A12" t="s">
        <v>48</v>
      </c>
      <c r="B12" s="18">
        <f>-(B6-Assumptions!B29)*Assumptions!B11</f>
        <v>-21882659.720450286</v>
      </c>
      <c r="C12" s="18">
        <f>-(C6-B6)*Assumptions!B11</f>
        <v>-21689016.291854616</v>
      </c>
      <c r="D12" s="18">
        <f>-(D6-C6)*Assumptions!B11</f>
        <v>-21497086.44734389</v>
      </c>
      <c r="E12" s="18">
        <f>-(E6-D6)*Assumptions!B11</f>
        <v>-21306855.02311747</v>
      </c>
      <c r="F12" s="18">
        <f>-(F6-E6)*Assumptions!B11</f>
        <v>-21118306.989561092</v>
      </c>
    </row>
    <row r="13" spans="1:6" x14ac:dyDescent="0.25">
      <c r="A13" s="19" t="s">
        <v>49</v>
      </c>
      <c r="B13" s="20">
        <f>B9+B10+B11+B12</f>
        <v>1367961750.3533385</v>
      </c>
      <c r="C13" s="20">
        <f>C9+C10+C11+C12</f>
        <v>1355856420.977914</v>
      </c>
      <c r="D13" s="20">
        <f>D9+D10+D11+D12</f>
        <v>1343858213.7491803</v>
      </c>
      <c r="E13" s="20">
        <f>E9+E10+E11+E12</f>
        <v>1331966180.7247908</v>
      </c>
      <c r="F13" s="20">
        <f>F9+F10+F11+F12</f>
        <v>1320179382.3509078</v>
      </c>
    </row>
    <row r="14" spans="1:6" x14ac:dyDescent="0.25">
      <c r="A14" t="s">
        <v>50</v>
      </c>
      <c r="B14" s="21">
        <f>1/(1+Assumptions!$B$26)^(1-0.5*Assumptions!$B$32)</f>
        <v>0.9615756568228785</v>
      </c>
      <c r="C14" s="21">
        <f>1/(1+Assumptions!$B$26)^(2-0.5*Assumptions!$B$32)</f>
        <v>0.8890995300557086</v>
      </c>
      <c r="D14" s="21">
        <f>1/(1+Assumptions!$B$26)^(3-0.5*Assumptions!$B$32)</f>
        <v>0.8220860924840269</v>
      </c>
      <c r="E14" s="21">
        <f>1/(1+Assumptions!$B$26)^(4-0.5*Assumptions!$B$32)</f>
        <v>0.7601236088982193</v>
      </c>
      <c r="F14" s="21">
        <f>1/(1+Assumptions!$B$26)^(5-0.5*Assumptions!$B$32)</f>
        <v>0.7028313775003796</v>
      </c>
    </row>
    <row r="15" spans="1:6" x14ac:dyDescent="0.25">
      <c r="A15" s="19" t="s">
        <v>51</v>
      </c>
      <c r="B15" s="20">
        <f>B13*B14</f>
        <v>1315398718.604586</v>
      </c>
      <c r="C15" s="20">
        <f>C13*C14</f>
        <v>1205491306.7144785</v>
      </c>
      <c r="D15" s="20">
        <f>D13*D14</f>
        <v>1104767147.7936277</v>
      </c>
      <c r="E15" s="20">
        <f>E13*E14</f>
        <v>1012458940.2229058</v>
      </c>
      <c r="F15" s="20">
        <f>F13*F14</f>
        <v>927863493.8452889</v>
      </c>
    </row>
    <row r="17" spans="1:2" x14ac:dyDescent="0.25">
      <c r="A17" s="22" t="s">
        <v>52</v>
      </c>
      <c r="B17" s="23">
        <f>SUM(B15:F15)</f>
        <v>5565979607.180887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1320179382.3509078</v>
      </c>
    </row>
    <row r="5" spans="1:2" x14ac:dyDescent="0.25">
      <c r="A5" t="s">
        <v>56</v>
      </c>
      <c r="B5" s="18">
        <f>IF(Assumptions!$B$33=0,B4,B4-Forecast!F11-Forecast!F10-Forecast!F12)</f>
        <v>1035863937.0765951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0.1752293679761258</v>
      </c>
    </row>
    <row r="7" spans="1:2" x14ac:dyDescent="0.25">
      <c r="A7" t="s">
        <v>58</v>
      </c>
      <c r="B7" s="18">
        <f>-MAX(Forecast!F9,0)*B6</f>
        <v>-181513783.00319308</v>
      </c>
    </row>
    <row r="8" spans="1:2" x14ac:dyDescent="0.25">
      <c r="A8" t="s">
        <v>59</v>
      </c>
      <c r="B8" s="18">
        <f>IF(OR(Assumptions!$B$33=0,Assumptions!B12&lt;=0),B5,MAX(B5+B7,0))</f>
        <v>854350154.0734019</v>
      </c>
    </row>
    <row r="9" spans="1:2" x14ac:dyDescent="0.25">
      <c r="A9" t="s">
        <v>60</v>
      </c>
      <c r="B9" s="18">
        <f>B8*(1+Assumptions!B12)/(Assumptions!B26-Assumptions!B12)</f>
        <v>15494795510.876606</v>
      </c>
    </row>
    <row r="10" spans="1:2" x14ac:dyDescent="0.25">
      <c r="A10" t="s">
        <v>61</v>
      </c>
      <c r="B10" s="18">
        <f>B9/(1+Assumptions!B26)^(5-0.5*Assumptions!B32)</f>
        <v>10890228472.996103</v>
      </c>
    </row>
    <row r="11" spans="1:2" x14ac:dyDescent="0.25">
      <c r="A11" t="s">
        <v>62</v>
      </c>
      <c r="B11" s="18">
        <f>Forecast!B17+B10</f>
        <v>16456208080.17699</v>
      </c>
    </row>
    <row r="12" spans="1:2" x14ac:dyDescent="0.25">
      <c r="A12" t="s">
        <v>63</v>
      </c>
      <c r="B12" s="18">
        <f>-Assumptions!B30</f>
        <v>-11914000000</v>
      </c>
    </row>
    <row r="13" spans="1:2" x14ac:dyDescent="0.25">
      <c r="A13" t="s">
        <v>64</v>
      </c>
      <c r="B13" s="18">
        <f>B11+B12</f>
        <v>4542208080.1769905</v>
      </c>
    </row>
    <row r="14" spans="1:2" x14ac:dyDescent="0.25">
      <c r="A14" s="19" t="s">
        <v>65</v>
      </c>
      <c r="B14" s="24">
        <f>B13/Assumptions!B31</f>
        <v>22.825166232045177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2264455695.232996</v>
      </c>
    </row>
    <row r="18" spans="1:2" x14ac:dyDescent="0.25">
      <c r="A18" t="s">
        <v>60</v>
      </c>
      <c r="B18" s="18">
        <f>B17*Assumptions!B13</f>
        <v>26874001208.54214</v>
      </c>
    </row>
    <row r="19" spans="1:2" x14ac:dyDescent="0.25">
      <c r="A19" t="s">
        <v>61</v>
      </c>
      <c r="B19" s="18">
        <f>B18/(1+Assumptions!B26)^(5-0.5*Assumptions!B32)</f>
        <v>18887891288.34654</v>
      </c>
    </row>
    <row r="20" spans="1:2" x14ac:dyDescent="0.25">
      <c r="A20" t="s">
        <v>62</v>
      </c>
      <c r="B20" s="18">
        <f>Forecast!B17+B19</f>
        <v>24453870895.527428</v>
      </c>
    </row>
    <row r="21" spans="1:2" x14ac:dyDescent="0.25">
      <c r="A21" t="s">
        <v>63</v>
      </c>
      <c r="B21" s="18">
        <f>-Assumptions!B30</f>
        <v>-11914000000</v>
      </c>
    </row>
    <row r="22" spans="1:2" x14ac:dyDescent="0.25">
      <c r="A22" t="s">
        <v>64</v>
      </c>
      <c r="B22" s="18">
        <f>B20+B21</f>
        <v>12539870895.527428</v>
      </c>
    </row>
    <row r="23" spans="1:2" x14ac:dyDescent="0.25">
      <c r="A23" s="19" t="s">
        <v>65</v>
      </c>
      <c r="B23" s="25">
        <f>B22/Assumptions!B31</f>
        <v>63.01442661069059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103.66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22.825166232045177</v>
      </c>
    </row>
    <row r="29" spans="1:2" x14ac:dyDescent="0.25">
      <c r="A29" s="19" t="s">
        <v>73</v>
      </c>
      <c r="B29" s="12">
        <f>B28/B26-1</f>
        <v>-0.779807387304214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0.061516</v>
      </c>
      <c r="B5" s="31">
        <v>47.047903106713086</v>
      </c>
      <c r="C5" s="31">
        <v>53.408012904261064</v>
      </c>
      <c r="D5" s="31">
        <v>61.47166642524255</v>
      </c>
      <c r="E5" s="31">
        <v>72.04966313188321</v>
      </c>
      <c r="F5" s="31">
        <v>86.56435736815976</v>
      </c>
    </row>
    <row r="6" spans="1:6" x14ac:dyDescent="0.25">
      <c r="A6" s="30">
        <v>0.071516</v>
      </c>
      <c r="B6" s="31">
        <v>30.02030026914476</v>
      </c>
      <c r="C6" s="31">
        <v>33.65487369441687</v>
      </c>
      <c r="D6" s="31">
        <v>38.042066731300835</v>
      </c>
      <c r="E6" s="31">
        <v>43.45380572564345</v>
      </c>
      <c r="F6" s="31">
        <v>50.31095247396897</v>
      </c>
    </row>
    <row r="7" spans="1:6" x14ac:dyDescent="0.25">
      <c r="A7" s="30">
        <v>0.081516</v>
      </c>
      <c r="B7" s="31">
        <v>18.057555959860366</v>
      </c>
      <c r="C7" s="31">
        <v>20.258215337987735</v>
      </c>
      <c r="D7" s="32">
        <v>22.825575216684026</v>
      </c>
      <c r="E7" s="31">
        <v>25.86640839485707</v>
      </c>
      <c r="F7" s="31">
        <v>29.533395659594092</v>
      </c>
    </row>
    <row r="8" spans="1:6" x14ac:dyDescent="0.25">
      <c r="A8" s="30">
        <v>0.091516</v>
      </c>
      <c r="B8" s="31">
        <v>9.176512212419558</v>
      </c>
      <c r="C8" s="31">
        <v>10.554706764698585</v>
      </c>
      <c r="D8" s="31">
        <v>12.121605018507818</v>
      </c>
      <c r="E8" s="31">
        <v>13.923220295957805</v>
      </c>
      <c r="F8" s="31">
        <v>16.021849209593864</v>
      </c>
    </row>
    <row r="9" spans="1:6" x14ac:dyDescent="0.25">
      <c r="A9" s="30">
        <v>0.101516</v>
      </c>
      <c r="B9" s="31">
        <v>2.310755296891409</v>
      </c>
      <c r="C9" s="31">
        <v>3.187736923891192</v>
      </c>
      <c r="D9" s="31">
        <v>4.163902355897377</v>
      </c>
      <c r="E9" s="31">
        <v>5.260054728922858</v>
      </c>
      <c r="F9" s="31">
        <v>6.503252256258998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30713000000</v>
      </c>
      <c r="C5" s="18">
        <v>28130000000</v>
      </c>
      <c r="D5" s="18">
        <v>28823000000</v>
      </c>
      <c r="E5" s="18">
        <v>31543000000</v>
      </c>
      <c r="F5" s="8" t="s">
        <v>84</v>
      </c>
    </row>
    <row r="6" spans="1:6" x14ac:dyDescent="0.25">
      <c r="A6" t="s">
        <v>44</v>
      </c>
      <c r="B6" s="18">
        <v>1944000000</v>
      </c>
      <c r="C6" s="18">
        <v>2282000000</v>
      </c>
      <c r="D6" s="18">
        <v>-1049000000</v>
      </c>
      <c r="E6" s="18">
        <v>2224000000</v>
      </c>
      <c r="F6" s="8" t="s">
        <v>85</v>
      </c>
    </row>
    <row r="7" spans="1:6" x14ac:dyDescent="0.25">
      <c r="A7" t="s">
        <v>86</v>
      </c>
      <c r="B7" s="18">
        <v>896000000</v>
      </c>
      <c r="C7" s="18">
        <v>1071000000</v>
      </c>
      <c r="D7" s="18">
        <v>1174000000</v>
      </c>
      <c r="E7" s="18">
        <v>688000000</v>
      </c>
      <c r="F7" s="8" t="s">
        <v>87</v>
      </c>
    </row>
    <row r="8" spans="1:6" x14ac:dyDescent="0.25">
      <c r="A8" t="s">
        <v>88</v>
      </c>
      <c r="B8" s="18">
        <v>1148000000</v>
      </c>
      <c r="C8" s="18">
        <v>490000000</v>
      </c>
      <c r="D8" s="18">
        <v>622000000</v>
      </c>
      <c r="E8" s="18">
        <v>373000000</v>
      </c>
      <c r="F8" s="8" t="s">
        <v>89</v>
      </c>
    </row>
    <row r="9" spans="1:6" x14ac:dyDescent="0.25">
      <c r="A9" t="s">
        <v>90</v>
      </c>
      <c r="B9" s="18">
        <v>906000000</v>
      </c>
      <c r="C9" s="18">
        <v>1036000000</v>
      </c>
      <c r="D9" s="18">
        <v>219000000</v>
      </c>
      <c r="E9" s="18">
        <v>2710000000</v>
      </c>
      <c r="F9" s="8" t="s">
        <v>91</v>
      </c>
    </row>
    <row r="10" spans="1:6" x14ac:dyDescent="0.25">
      <c r="A10" t="s">
        <v>92</v>
      </c>
      <c r="B10" s="18">
        <v>16622000000</v>
      </c>
      <c r="C10" s="18">
        <v>10991000000</v>
      </c>
      <c r="D10" s="18">
        <v>10971000000</v>
      </c>
      <c r="E10" s="18">
        <v>8302000000</v>
      </c>
      <c r="F10" s="8" t="s">
        <v>93</v>
      </c>
    </row>
    <row r="11" spans="1:6" x14ac:dyDescent="0.25">
      <c r="A11" t="s">
        <v>94</v>
      </c>
      <c r="B11" s="18">
        <v>4708000000</v>
      </c>
      <c r="C11" s="18">
        <v>966000000</v>
      </c>
      <c r="D11" s="18">
        <v>541000000</v>
      </c>
      <c r="E11" s="18">
        <v>430000000</v>
      </c>
      <c r="F11" s="8" t="s">
        <v>95</v>
      </c>
    </row>
    <row r="12" spans="1:6" x14ac:dyDescent="0.25">
      <c r="A12" t="s">
        <v>32</v>
      </c>
      <c r="B12" s="34">
        <v>199000000</v>
      </c>
      <c r="C12" s="34">
        <v>212000000</v>
      </c>
      <c r="D12" s="34">
        <v>228000000</v>
      </c>
      <c r="E12" s="34">
        <v>236000000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