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<sst xmlns="http://schemas.openxmlformats.org/spreadsheetml/2006/main" count="112" uniqueCount="100">
  <si>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Norfolk Southern Corporation (NSC)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</si>
  <si>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</si>
  <si>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</si>
  <si>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</si>
  <si>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</si>
  <si>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</si>
  <si>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</si>
  <si>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</si>
  <si>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</si>
  <si>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</si>
  <si>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</si>
  <si>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</si>
  <si>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</si>
  <si>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</si>
  <si>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</si>
  <si>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</si>
  <si>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</si>
  <si>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</si>
  <si>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</si>
  <si>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</si>
  <si>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</si>
  <si>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</si>
  <si>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</si>
  <si>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</si>
  <si>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</si>
  <si>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</si>
  <si>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</si>
  <si>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</si>
  <si>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</si>
  <si>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</si>
  <si>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</si>
  <si>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</si>
  <si>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</si>
  <si>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</si>
  <si>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</si>
  <si>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</si>
  <si>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</si>
  <si>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</si>
  <si>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</si>
  <si>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</si>
  <si>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</si>
  <si>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</si>
  <si>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</si>
  <si>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</si>
  <si>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</si>
  <si>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</si>
  <si>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</si>
  <si>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</si>
  <si>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</si>
  <si>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</si>
  <si>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</si>
  <si>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</si>
  <si>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</si>
  <si>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</si>
  <si>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</si>
  <si>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</si>
  <si>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</si>
  <si>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</si>
  <si>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</si>
  <si>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</si>
  <si>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</si>
  <si>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</si>
  <si>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</si>
  <si>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</si>
  <si>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</si>
  <si>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</si>
  <si>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</si>
  <si>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</si>
  <si>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</si>
  <si>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</si>
  <si>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</si>
  <si>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</si>
  <si>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</si>
  <si>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</si>
  <si>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</si>
  <si>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</si>
  <si>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</si>
  <si>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</si>
  <si>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</si>
  <si>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</si>
  <si>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</si>
  <si>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</si>
  <si>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</si>
  <si>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</si>
  <si>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</si>
  <si>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</si>
  <si>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</si>
  <si>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</si>
  <si>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</si>
  <si>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</si>
  <si>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</si>
  <si>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</si>
  <si>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</si>
  <si>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</si>
  <si>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</si>
  <si>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</si>
  <si>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</si>
  <si>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</si>
  <si>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18.0% of revenue against depreciation of 10.7%.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</si>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</sst>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-0.015000939727698559</v>
      </c>
    </row>
    <row r="7" spans="1:2" x14ac:dyDescent="0.25">
      <c r="A7" t="s">
        <v>5</v>
      </c>
      <c r="B7" s="6">
        <v>0.3854624024804625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0.10713866879441336</v>
      </c>
    </row>
    <row r="10" spans="1:2" x14ac:dyDescent="0.25">
      <c r="A10" t="s">
        <v>8</v>
      </c>
      <c r="B10" s="6">
        <v>0.18040706635721515</v>
      </c>
    </row>
    <row r="11" spans="1:2" x14ac:dyDescent="0.25">
      <c r="A11" t="s">
        <v>9</v>
      </c>
      <c r="B11" s="6">
        <v>0.6247877758913413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14.47651969416499</v>
      </c>
    </row>
    <row r="14" spans="1:3" x14ac:dyDescent="0.25">
      <c r="A14" t="s">
        <v>12</v>
      </c>
      <c r="B14" s="6">
        <v>0.11816778981097248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1.17956</v>
      </c>
      <c r="C19" s="8" t="s">
        <v>19</v>
      </c>
    </row>
    <row r="20" spans="1:2" x14ac:dyDescent="0.25">
      <c r="A20" t="s">
        <v>20</v>
      </c>
      <c r="B20" s="10">
        <f>B17+B19*B18</f>
        <v>0.11485580000000001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70562963456</v>
      </c>
    </row>
    <row r="23" spans="1:2" x14ac:dyDescent="0.25">
      <c r="A23" t="s">
        <v>24</v>
      </c>
      <c r="B23" s="11">
        <v>17305000000</v>
      </c>
    </row>
    <row r="24" spans="1:2" x14ac:dyDescent="0.25">
      <c r="A24" t="s">
        <v>25</v>
      </c>
      <c r="B24" s="10">
        <f>B22/(B22+B23)</f>
        <v>0.8030567761062825</v>
      </c>
    </row>
    <row r="25" spans="1:2" x14ac:dyDescent="0.25">
      <c r="A25" t="s">
        <v>26</v>
      </c>
      <c r="B25" s="10">
        <f>1-B24</f>
        <v>0.19694322389371755</v>
      </c>
    </row>
    <row r="26" spans="1:2" x14ac:dyDescent="0.25">
      <c r="A26" t="s">
        <v>27</v>
      </c>
      <c r="B26" s="12">
        <f>B24*B20+B25*B21*(1-B8)</f>
        <v>0.10001187410597229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12180000000</v>
      </c>
      <c r="C29" s="8" t="s">
        <v>30</v>
      </c>
    </row>
    <row r="30" spans="1:2" x14ac:dyDescent="0.25">
      <c r="A30" t="s">
        <v>31</v>
      </c>
      <c r="B30" s="11">
        <v>15775000000</v>
      </c>
    </row>
    <row r="31" spans="1:2" x14ac:dyDescent="0.25">
      <c r="A31" t="s">
        <v>32</v>
      </c>
      <c r="B31" s="13">
        <v>225300000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-0.015000939727698559</v>
      </c>
      <c r="C5" s="10">
        <f>Assumptions!B6</f>
        <v>-0.015000939727698559</v>
      </c>
      <c r="D5" s="10">
        <f>Assumptions!B6</f>
        <v>-0.015000939727698559</v>
      </c>
      <c r="E5" s="10">
        <f>Assumptions!B6</f>
        <v>-0.015000939727698559</v>
      </c>
      <c r="F5" s="10">
        <f>Assumptions!B6</f>
        <v>-0.015000939727698559</v>
      </c>
    </row>
    <row r="6" spans="1:6" x14ac:dyDescent="0.25">
      <c r="A6" t="s">
        <v>43</v>
      </c>
      <c r="B6" s="18">
        <f>Assumptions!B29*(1+B5)</f>
        <v>11997288554.116632</v>
      </c>
      <c r="C6" s="18">
        <f>B6*(1+C5)</f>
        <v>11817317951.620522</v>
      </c>
      <c r="D6" s="18">
        <f>C6*(1+D5)</f>
        <v>11640047077.285212</v>
      </c>
      <c r="E6" s="18">
        <f>D6*(1+E5)</f>
        <v>11465435432.651283</v>
      </c>
      <c r="F6" s="18">
        <f>E6*(1+F5)</f>
        <v>11293443126.774261</v>
      </c>
    </row>
    <row r="7" spans="1:6" x14ac:dyDescent="0.25">
      <c r="A7" t="s">
        <v>5</v>
      </c>
      <c r="B7" s="10">
        <f>Assumptions!B7</f>
        <v>0.3854624024804625</v>
      </c>
      <c r="C7" s="10">
        <f>Assumptions!B7</f>
        <v>0.3854624024804625</v>
      </c>
      <c r="D7" s="10">
        <f>Assumptions!B7</f>
        <v>0.3854624024804625</v>
      </c>
      <c r="E7" s="10">
        <f>Assumptions!B7</f>
        <v>0.3854624024804625</v>
      </c>
      <c r="F7" s="10">
        <f>Assumptions!B7</f>
        <v>0.3854624024804625</v>
      </c>
    </row>
    <row r="8" spans="1:6" x14ac:dyDescent="0.25">
      <c r="A8" t="s">
        <v>44</v>
      </c>
      <c r="B8" s="18">
        <f>B6*B7</f>
        <v>4624503669.321151</v>
      </c>
      <c r="C8" s="18">
        <f>C6*C7</f>
        <v>4555131768.507144</v>
      </c>
      <c r="D8" s="18">
        <f>D6*D7</f>
        <v>4486800511.396043</v>
      </c>
      <c r="E8" s="18">
        <f>E6*E7</f>
        <v>4419494287.354384</v>
      </c>
      <c r="F8" s="18">
        <f>F6*F7</f>
        <v>4353197719.9228735</v>
      </c>
    </row>
    <row r="9" spans="1:6" x14ac:dyDescent="0.25">
      <c r="A9" t="s">
        <v>45</v>
      </c>
      <c r="B9" s="18">
        <f>B8*(1-Assumptions!B8)</f>
        <v>3653357898.763709</v>
      </c>
      <c r="C9" s="18">
        <f>C8*(1-Assumptions!B8)</f>
        <v>3598554097.120644</v>
      </c>
      <c r="D9" s="18">
        <f>D8*(1-Assumptions!B8)</f>
        <v>3544572404.002874</v>
      </c>
      <c r="E9" s="18">
        <f>E8*(1-Assumptions!B8)</f>
        <v>3491400487.009964</v>
      </c>
      <c r="F9" s="18">
        <f>F8*(1-Assumptions!B8)</f>
        <v>3439026198.7390704</v>
      </c>
    </row>
    <row r="10" spans="1:6" x14ac:dyDescent="0.25">
      <c r="A10" t="s">
        <v>46</v>
      </c>
      <c r="B10" s="18">
        <f>B6*Assumptions!B9</f>
        <v>1285373524.8305082</v>
      </c>
      <c r="C10" s="18">
        <f>C6*Assumptions!B9</f>
        <v>1266091714.0569463</v>
      </c>
      <c r="D10" s="18">
        <f>D6*Assumptions!B9</f>
        <v>1247099148.5646396</v>
      </c>
      <c r="E10" s="18">
        <f>E6*Assumptions!B9</f>
        <v>1228391489.4025574</v>
      </c>
      <c r="F10" s="18">
        <f>F6*Assumptions!B9</f>
        <v>1209964462.7080116</v>
      </c>
    </row>
    <row r="11" spans="1:6" x14ac:dyDescent="0.25">
      <c r="A11" t="s">
        <v>47</v>
      </c>
      <c r="B11" s="18">
        <f>-B6*Assumptions!B10</f>
        <v>-2164395632.289177</v>
      </c>
      <c r="C11" s="18">
        <f>-C6*Assumptions!B10</f>
        <v>-2131927663.8623133</v>
      </c>
      <c r="D11" s="18">
        <f>-D6*Assumptions!B10</f>
        <v>-2099946745.4729013</v>
      </c>
      <c r="E11" s="18">
        <f>-E6*Assumptions!B10</f>
        <v>-2068445570.9126859</v>
      </c>
      <c r="F11" s="18">
        <f>-F6*Assumptions!B10</f>
        <v>-2037416943.5733995</v>
      </c>
    </row>
    <row r="12" spans="1:6" x14ac:dyDescent="0.25">
      <c r="A12" t="s">
        <v>48</v>
      </c>
      <c r="B12" s="18">
        <f>-(B6-Assumptions!B29)*Assumptions!B11</f>
        <v>114155877.90336037</v>
      </c>
      <c r="C12" s="18">
        <f>-(C6-B6)*Assumptions!B11</f>
        <v>112443432.45936981</v>
      </c>
      <c r="D12" s="18">
        <f>-(D6-C6)*Assumptions!B11</f>
        <v>110756675.30627178</v>
      </c>
      <c r="E12" s="18">
        <f>-(E6-D6)*Assumptions!B11</f>
        <v>109095221.09556131</v>
      </c>
      <c r="F12" s="18">
        <f>-(F6-E6)*Assumptions!B11</f>
        <v>107458690.25932771</v>
      </c>
    </row>
    <row r="13" spans="1:6" x14ac:dyDescent="0.25">
      <c r="A13" s="19" t="s">
        <v>49</v>
      </c>
      <c r="B13" s="20">
        <f>B9+B10+B11+B12</f>
        <v>2888491669.2084007</v>
      </c>
      <c r="C13" s="20">
        <f>C9+C10+C11+C12</f>
        <v>2845161579.7746468</v>
      </c>
      <c r="D13" s="20">
        <f>D9+D10+D11+D12</f>
        <v>2802481482.4008837</v>
      </c>
      <c r="E13" s="20">
        <f>E9+E10+E11+E12</f>
        <v>2760441626.595397</v>
      </c>
      <c r="F13" s="20">
        <f>F9+F10+F11+F12</f>
        <v>2719032408.133011</v>
      </c>
    </row>
    <row r="14" spans="1:6" x14ac:dyDescent="0.25">
      <c r="A14" t="s">
        <v>50</v>
      </c>
      <c r="B14" s="21">
        <f>1/(1+Assumptions!$B$26)^(1-0.5*Assumptions!$B$32)</f>
        <v>0.9534574431436981</v>
      </c>
      <c r="C14" s="21">
        <f>1/(1+Assumptions!$B$26)^(2-0.5*Assumptions!$B$32)</f>
        <v>0.8667701372938492</v>
      </c>
      <c r="D14" s="21">
        <f>1/(1+Assumptions!$B$26)^(3-0.5*Assumptions!$B$32)</f>
        <v>0.7879643462924536</v>
      </c>
      <c r="E14" s="21">
        <f>1/(1+Assumptions!$B$26)^(4-0.5*Assumptions!$B$32)</f>
        <v>0.7163234914467324</v>
      </c>
      <c r="F14" s="21">
        <f>1/(1+Assumptions!$B$26)^(5-0.5*Assumptions!$B$32)</f>
        <v>0.651196144613366</v>
      </c>
    </row>
    <row r="15" spans="1:6" x14ac:dyDescent="0.25">
      <c r="A15" s="19" t="s">
        <v>51</v>
      </c>
      <c r="B15" s="20">
        <f>B13*B14</f>
        <v>2754053881.4653144</v>
      </c>
      <c r="C15" s="20">
        <f>C13*C14</f>
        <v>2466101093.1244555</v>
      </c>
      <c r="D15" s="20">
        <f>D13*D14</f>
        <v>2208255489.2767186</v>
      </c>
      <c r="E15" s="20">
        <f>E13*E14</f>
        <v>1977369183.8977118</v>
      </c>
      <c r="F15" s="20">
        <f>F13*F14</f>
        <v>1770623421.2550128</v>
      </c>
    </row>
    <row r="17" spans="1:2" x14ac:dyDescent="0.25">
      <c r="A17" s="22" t="s">
        <v>52</v>
      </c>
      <c r="B17" s="23">
        <f>SUM(B15:F15)</f>
        <v>11176403069.01921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2719032408.133011</v>
      </c>
    </row>
    <row r="5" spans="1:2" x14ac:dyDescent="0.25">
      <c r="A5" t="s">
        <v>56</v>
      </c>
      <c r="B5" s="18">
        <f>IF(Assumptions!$B$33=0,B4,B4-Forecast!F11-Forecast!F10-Forecast!F12)</f>
        <v>3439026198.7390704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0.21156357447313975</v>
      </c>
    </row>
    <row r="7" spans="1:2" x14ac:dyDescent="0.25">
      <c r="A7" t="s">
        <v>58</v>
      </c>
      <c r="B7" s="18">
        <f>-MAX(Forecast!F9,0)*B6</f>
        <v>-727572675.3120121</v>
      </c>
    </row>
    <row r="8" spans="1:2" x14ac:dyDescent="0.25">
      <c r="A8" t="s">
        <v>59</v>
      </c>
      <c r="B8" s="18">
        <f>IF(OR(Assumptions!$B$33=0,Assumptions!B12&lt;=0),B5,MAX(B5+B7,0))</f>
        <v>2711453523.427058</v>
      </c>
    </row>
    <row r="9" spans="1:2" x14ac:dyDescent="0.25">
      <c r="A9" t="s">
        <v>60</v>
      </c>
      <c r="B9" s="18">
        <f>B8*(1+Assumptions!B12)/(Assumptions!B26-Assumptions!B12)</f>
        <v>37050665573.11167</v>
      </c>
    </row>
    <row r="10" spans="1:2" x14ac:dyDescent="0.25">
      <c r="A10" t="s">
        <v>61</v>
      </c>
      <c r="B10" s="18">
        <f>B9/(1+Assumptions!B26)^(5-0.5*Assumptions!B32)</f>
        <v>24127250576.56949</v>
      </c>
    </row>
    <row r="11" spans="1:2" x14ac:dyDescent="0.25">
      <c r="A11" t="s">
        <v>62</v>
      </c>
      <c r="B11" s="18">
        <f>Forecast!B17+B10</f>
        <v>35303653645.5887</v>
      </c>
    </row>
    <row r="12" spans="1:2" x14ac:dyDescent="0.25">
      <c r="A12" t="s">
        <v>63</v>
      </c>
      <c r="B12" s="18">
        <f>-Assumptions!B30</f>
        <v>-15775000000</v>
      </c>
    </row>
    <row r="13" spans="1:2" x14ac:dyDescent="0.25">
      <c r="A13" t="s">
        <v>64</v>
      </c>
      <c r="B13" s="18">
        <f>B11+B12</f>
        <v>19528653645.5887</v>
      </c>
    </row>
    <row r="14" spans="1:2" x14ac:dyDescent="0.25">
      <c r="A14" s="19" t="s">
        <v>65</v>
      </c>
      <c r="B14" s="24">
        <f>B13/Assumptions!B31</f>
        <v>86.67844494269285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5563162182.630885</v>
      </c>
    </row>
    <row r="18" spans="1:2" x14ac:dyDescent="0.25">
      <c r="A18" t="s">
        <v>60</v>
      </c>
      <c r="B18" s="18">
        <f>B17*Assumptions!B13</f>
        <v>80535226898.6899</v>
      </c>
    </row>
    <row r="19" spans="1:2" x14ac:dyDescent="0.25">
      <c r="A19" t="s">
        <v>61</v>
      </c>
      <c r="B19" s="18">
        <f>B18/(1+Assumptions!B26)^(5-0.5*Assumptions!B32)</f>
        <v>52444229261.9895</v>
      </c>
    </row>
    <row r="20" spans="1:2" x14ac:dyDescent="0.25">
      <c r="A20" t="s">
        <v>62</v>
      </c>
      <c r="B20" s="18">
        <f>Forecast!B17+B19</f>
        <v>63620632331.00871</v>
      </c>
    </row>
    <row r="21" spans="1:2" x14ac:dyDescent="0.25">
      <c r="A21" t="s">
        <v>63</v>
      </c>
      <c r="B21" s="18">
        <f>-Assumptions!B30</f>
        <v>-15775000000</v>
      </c>
    </row>
    <row r="22" spans="1:2" x14ac:dyDescent="0.25">
      <c r="A22" t="s">
        <v>64</v>
      </c>
      <c r="B22" s="18">
        <f>B20+B21</f>
        <v>47845632331.00871</v>
      </c>
    </row>
    <row r="23" spans="1:2" x14ac:dyDescent="0.25">
      <c r="A23" s="19" t="s">
        <v>65</v>
      </c>
      <c r="B23" s="25">
        <f>B22/Assumptions!B31</f>
        <v>212.36410266759304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314.16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86.67844494269285</v>
      </c>
    </row>
    <row r="29" spans="1:2" x14ac:dyDescent="0.25">
      <c r="A29" s="19" t="s">
        <v>73</v>
      </c>
      <c r="B29" s="12">
        <f>B28/B26-1</f>
        <v>-0.7240945857439112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0.080012</v>
      </c>
      <c r="B5" s="31">
        <v>128.87678660503744</v>
      </c>
      <c r="C5" s="31">
        <v>134.1583172166572</v>
      </c>
      <c r="D5" s="31">
        <v>140.31688204451248</v>
      </c>
      <c r="E5" s="31">
        <v>147.61552822216214</v>
      </c>
      <c r="F5" s="31">
        <v>156.43418155265667</v>
      </c>
    </row>
    <row r="6" spans="1:6" x14ac:dyDescent="0.25">
      <c r="A6" s="30">
        <v>0.090012</v>
      </c>
      <c r="B6" s="31">
        <v>102.98980167990159</v>
      </c>
      <c r="C6" s="31">
        <v>105.98897867768746</v>
      </c>
      <c r="D6" s="31">
        <v>109.38207443714523</v>
      </c>
      <c r="E6" s="31">
        <v>113.26754895669326</v>
      </c>
      <c r="F6" s="31">
        <v>117.77965806053982</v>
      </c>
    </row>
    <row r="7" spans="1:6" x14ac:dyDescent="0.25">
      <c r="A7" s="30">
        <v>0.100012</v>
      </c>
      <c r="B7" s="31">
        <v>83.20258096182077</v>
      </c>
      <c r="C7" s="31">
        <v>84.85807512433742</v>
      </c>
      <c r="D7" s="32">
        <v>86.67819711382246</v>
      </c>
      <c r="E7" s="31">
        <v>88.69821827525296</v>
      </c>
      <c r="F7" s="31">
        <v>90.96426067192762</v>
      </c>
    </row>
    <row r="8" spans="1:6" x14ac:dyDescent="0.25">
      <c r="A8" s="30">
        <v>0.110012</v>
      </c>
      <c r="B8" s="31">
        <v>67.58839152932994</v>
      </c>
      <c r="C8" s="31">
        <v>68.41964571731073</v>
      </c>
      <c r="D8" s="31">
        <v>69.30118106031632</v>
      </c>
      <c r="E8" s="31">
        <v>70.24242386096864</v>
      </c>
      <c r="F8" s="31">
        <v>71.25531370046393</v>
      </c>
    </row>
    <row r="9" spans="1:6" x14ac:dyDescent="0.25">
      <c r="A9" s="30">
        <v>0.120012</v>
      </c>
      <c r="B9" s="31">
        <v>55.12727270910865</v>
      </c>
      <c r="C9" s="31">
        <v>55.5091445040037</v>
      </c>
      <c r="D9" s="31">
        <v>55.89101629889871</v>
      </c>
      <c r="E9" s="31">
        <v>56.272888093793746</v>
      </c>
      <c r="F9" s="31">
        <v>56.654759888688744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12180000000</v>
      </c>
      <c r="C5" s="18">
        <v>12123000000</v>
      </c>
      <c r="D5" s="18">
        <v>12156000000</v>
      </c>
      <c r="E5" s="18">
        <v>12745000000</v>
      </c>
      <c r="F5" s="8" t="s">
        <v>84</v>
      </c>
    </row>
    <row r="6" spans="1:6" x14ac:dyDescent="0.25">
      <c r="A6" t="s">
        <v>44</v>
      </c>
      <c r="B6" s="18">
        <v>4571000000</v>
      </c>
      <c r="C6" s="18">
        <v>4877000000</v>
      </c>
      <c r="D6" s="18">
        <v>4326000000</v>
      </c>
      <c r="E6" s="18">
        <v>5205000000</v>
      </c>
      <c r="F6" s="8" t="s">
        <v>85</v>
      </c>
    </row>
    <row r="7" spans="1:6" x14ac:dyDescent="0.25">
      <c r="A7" t="s">
        <v>86</v>
      </c>
      <c r="B7" s="18">
        <v>1393000000</v>
      </c>
      <c r="C7" s="18">
        <v>1353000000</v>
      </c>
      <c r="D7" s="18">
        <v>1298000000</v>
      </c>
      <c r="E7" s="18">
        <v>1221000000</v>
      </c>
      <c r="F7" s="8" t="s">
        <v>87</v>
      </c>
    </row>
    <row r="8" spans="1:6" x14ac:dyDescent="0.25">
      <c r="A8" t="s">
        <v>88</v>
      </c>
      <c r="B8" s="18">
        <v>2204000000</v>
      </c>
      <c r="C8" s="18">
        <v>2381000000</v>
      </c>
      <c r="D8" s="18">
        <v>2327000000</v>
      </c>
      <c r="E8" s="18">
        <v>1948000000</v>
      </c>
      <c r="F8" s="8" t="s">
        <v>89</v>
      </c>
    </row>
    <row r="9" spans="1:6" x14ac:dyDescent="0.25">
      <c r="A9" t="s">
        <v>90</v>
      </c>
      <c r="B9" s="18">
        <v>-301000000</v>
      </c>
      <c r="C9" s="18">
        <v>-625000000</v>
      </c>
      <c r="D9" s="18">
        <v>-368000000</v>
      </c>
      <c r="E9" s="18">
        <v>201000000</v>
      </c>
      <c r="F9" s="8" t="s">
        <v>91</v>
      </c>
    </row>
    <row r="10" spans="1:6" x14ac:dyDescent="0.25">
      <c r="A10" t="s">
        <v>92</v>
      </c>
      <c r="B10" s="18">
        <v>17305000000</v>
      </c>
      <c r="C10" s="18">
        <v>17478000000</v>
      </c>
      <c r="D10" s="18">
        <v>17571000000</v>
      </c>
      <c r="E10" s="18">
        <v>15592000000</v>
      </c>
      <c r="F10" s="8" t="s">
        <v>93</v>
      </c>
    </row>
    <row r="11" spans="1:6" x14ac:dyDescent="0.25">
      <c r="A11" t="s">
        <v>94</v>
      </c>
      <c r="B11" s="18">
        <v>1530000000</v>
      </c>
      <c r="C11" s="18">
        <v>1641000000</v>
      </c>
      <c r="D11" s="18">
        <v>1568000000</v>
      </c>
      <c r="E11" s="18">
        <v>456000000</v>
      </c>
      <c r="F11" s="8" t="s">
        <v>95</v>
      </c>
    </row>
    <row r="12" spans="1:6" x14ac:dyDescent="0.25">
      <c r="A12" t="s">
        <v>32</v>
      </c>
      <c r="B12" s="34">
        <v>225300000</v>
      </c>
      <c r="C12" s="34">
        <v>226400000</v>
      </c>
      <c r="D12" s="34">
        <v>227400000</v>
      </c>
      <c r="E12" s="34">
        <v>235600000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2026-09-19T01:03:25Z</dcterms:modified>
</cp:coreProperties>
</file>