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<sst xmlns="http://schemas.openxmlformats.org/spreadsheetml/2006/main" count="120" uniqueCount="107">
  <si>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Norfolk Southern Corporation (NSC)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</si>
  <si>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</si>
  <si>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</si>
  <si>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</si>
  <si>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</si>
  <si>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</si>
  <si>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</si>
  <si>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</si>
  <si>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</si>
  <si>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</si>
  <si>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</si>
  <si>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</si>
  <si>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</si>
  <si>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</si>
  <si>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</si>
  <si>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</si>
  <si>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</si>
  <si>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</si>
  <si>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</si>
  <si>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</si>
  <si>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</si>
  <si>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</si>
  <si>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</si>
  <si>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</si>
  <si>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5.8x interest cover. Book interest / average debt was lower, at 4.6%.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</si>
  <si>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</si>
  <si>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</si>
  <si>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</si>
  <si>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</si>
  <si>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</si>
  <si>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</si>
  <si>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</si>
  <si>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</si>
  <si>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</si>
  <si>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</si>
  <si>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</si>
  <si>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</si>
  <si>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</si>
  <si>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</si>
  <si>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</si>
  <si>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</si>
  <si>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</si>
  <si>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</si>
  <si>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</si>
  <si>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</si>
  <si>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</si>
  <si>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</si>
  <si>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</si>
  <si>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</si>
  <si>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</si>
  <si>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</si>
  <si>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</si>
  <si>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</si>
  <si>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</si>
  <si>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</si>
  <si>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</si>
  <si>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</si>
  <si>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</si>
  <si>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</si>
  <si>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</si>
  <si>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</si>
  <si>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</si>
  <si>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</si>
  <si>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</si>
  <si>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</si>
  <si>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</si>
  <si>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</si>
  <si>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</si>
  <si>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</si>
  <si>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</si>
  <si>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</si>
  <si>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</si>
  <si>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</si>
  <si>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</si>
  <si>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</si>
  <si>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</si>
  <si>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</si>
  <si>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</si>
  <si>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</si>
  <si>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</si>
  <si>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</si>
  <si>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</si>
  <si>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</si>
  <si>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</si>
  <si>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</si>
  <si>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</si>
  <si>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</si>
  <si>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</si>
  <si>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</si>
  <si>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</si>
  <si>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</si>
  <si>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</si>
  <si>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</si>
  <si>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</si>
  <si>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</si>
  <si>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</si>
  <si>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</si>
  <si>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</si>
  <si>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</si>
  <si>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</si>
  <si>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</si>
  <si>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</si>
  <si>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</si>
  <si>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</si>
  <si>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</si>
  <si>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18.0% of revenue against depreciation of 10.7%.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</si>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</sst>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0.10419632840722493</v>
      </c>
    </row>
    <row r="7" spans="1:2" x14ac:dyDescent="0.25">
      <c r="A7" t="s">
        <v>4</v>
      </c>
      <c r="B7" s="5">
        <v>0.3854624024804625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0.10713866879441336</v>
      </c>
    </row>
    <row r="10" spans="1:3" x14ac:dyDescent="0.25">
      <c r="A10" t="s">
        <v>7</v>
      </c>
      <c r="B10" s="5">
        <v>0.18040706635721515</v>
      </c>
      <c r="C10" s="6" t="s">
        <v>8</v>
      </c>
    </row>
    <row r="11" spans="1:2" x14ac:dyDescent="0.25">
      <c r="A11" t="s">
        <v>9</v>
      </c>
      <c r="B11" s="5">
        <v>0.009386930148928403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15.664067122736418</v>
      </c>
    </row>
    <row r="14" spans="1:3" x14ac:dyDescent="0.25">
      <c r="A14" t="s">
        <v>12</v>
      </c>
      <c r="B14" s="5">
        <v>0.11816778981097248</v>
      </c>
      <c r="C14" s="6" t="s">
        <v>13</v>
      </c>
    </row>
    <row r="15" spans="1:3" x14ac:dyDescent="0.25">
      <c r="A15" t="s">
        <v>14</v>
      </c>
      <c r="B15" s="5">
        <v>0.10713866879441336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1.1185900000000002</v>
      </c>
      <c r="C19" s="6" t="s">
        <v>21</v>
      </c>
    </row>
    <row r="20" spans="1:2" x14ac:dyDescent="0.25">
      <c r="A20" t="s">
        <v>22</v>
      </c>
      <c r="B20" s="9">
        <f>B17+B19*B18</f>
        <v>0.09625635700000001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77645496320</v>
      </c>
    </row>
    <row r="23" spans="1:2" x14ac:dyDescent="0.25">
      <c r="A23" t="s">
        <v>26</v>
      </c>
      <c r="B23" s="10">
        <v>17305000000</v>
      </c>
    </row>
    <row r="24" spans="1:2" x14ac:dyDescent="0.25">
      <c r="A24" t="s">
        <v>27</v>
      </c>
      <c r="B24" s="9">
        <f>B22/(B22+B23)</f>
        <v>0.8177471348682678</v>
      </c>
    </row>
    <row r="25" spans="1:2" x14ac:dyDescent="0.25">
      <c r="A25" t="s">
        <v>28</v>
      </c>
      <c r="B25" s="9">
        <f>1-B24</f>
        <v>0.18225286513173222</v>
      </c>
    </row>
    <row r="26" spans="1:2" x14ac:dyDescent="0.25">
      <c r="A26" t="s">
        <v>29</v>
      </c>
      <c r="B26" s="11">
        <f>B24*B20+B25*B21*(1-B8)</f>
        <v>0.08676758811722773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12180000000</v>
      </c>
      <c r="C29" s="6" t="s">
        <v>32</v>
      </c>
    </row>
    <row r="30" spans="1:2" x14ac:dyDescent="0.25">
      <c r="A30" t="s">
        <v>33</v>
      </c>
      <c r="B30" s="10">
        <v>15775000000</v>
      </c>
    </row>
    <row r="31" spans="1:2" x14ac:dyDescent="0.25">
      <c r="A31" t="s">
        <v>34</v>
      </c>
      <c r="B31" s="12">
        <v>225000000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0.10419632840722493</v>
      </c>
      <c r="C5" s="5">
        <v>0.053341437591257757</v>
      </c>
      <c r="D5" s="5">
        <v>0.04979875789235054</v>
      </c>
      <c r="E5" s="5">
        <v>0.046256078193443316</v>
      </c>
      <c r="F5" s="5">
        <v>0.0427133984945361</v>
      </c>
      <c r="G5" s="5">
        <v>0.039170718795628875</v>
      </c>
      <c r="H5" s="5">
        <v>0.03562803909672166</v>
      </c>
      <c r="I5" s="5">
        <v>0.03208535939781444</v>
      </c>
      <c r="J5" s="5">
        <v>0.02854267969890722</v>
      </c>
      <c r="K5" s="5">
        <v>0.025</v>
      </c>
    </row>
    <row r="6" spans="1:11" x14ac:dyDescent="0.25">
      <c r="A6" t="s">
        <v>50</v>
      </c>
      <c r="B6" s="18">
        <f>Assumptions!B29*(1+B5)</f>
        <v>13449111280</v>
      </c>
      <c r="C6" s="18">
        <f>B6*(1+C5)</f>
        <v>14166506210</v>
      </c>
      <c r="D6" s="18">
        <f>C6*(1+D5)</f>
        <v>14871980622.932268</v>
      </c>
      <c r="E6" s="18">
        <f>D6*(1+E5)</f>
        <v>15559900121.517998</v>
      </c>
      <c r="F6" s="18">
        <f>E6*(1+F5)</f>
        <v>16224516335.943575</v>
      </c>
      <c r="G6" s="18">
        <f>F6*(1+G5)</f>
        <v>16860042302.933908</v>
      </c>
      <c r="H6" s="18">
        <f>G6*(1+H5)</f>
        <v>17460732549.27522</v>
      </c>
      <c r="I6" s="18">
        <f>H6*(1+I5)</f>
        <v>18020966428.467834</v>
      </c>
      <c r="J6" s="18">
        <f>I6*(1+J5)</f>
        <v>18535333101.100353</v>
      </c>
      <c r="K6" s="18">
        <f>J6*(1+K5)</f>
        <v>18998716428.62786</v>
      </c>
    </row>
    <row r="7" spans="1:11" x14ac:dyDescent="0.25">
      <c r="A7" t="s">
        <v>4</v>
      </c>
      <c r="B7" s="9">
        <f>Assumptions!B7</f>
        <v>0.3854624024804625</v>
      </c>
      <c r="C7" s="9">
        <f>Assumptions!B7</f>
        <v>0.3854624024804625</v>
      </c>
      <c r="D7" s="9">
        <f>Assumptions!B7</f>
        <v>0.3854624024804625</v>
      </c>
      <c r="E7" s="9">
        <f>Assumptions!B7</f>
        <v>0.3854624024804625</v>
      </c>
      <c r="F7" s="9">
        <f>Assumptions!B7</f>
        <v>0.3854624024804625</v>
      </c>
      <c r="G7" s="9">
        <f>Assumptions!B7</f>
        <v>0.3854624024804625</v>
      </c>
      <c r="H7" s="9">
        <f>Assumptions!B7</f>
        <v>0.3854624024804625</v>
      </c>
      <c r="I7" s="9">
        <f>Assumptions!B7</f>
        <v>0.3854624024804625</v>
      </c>
      <c r="J7" s="9">
        <f>Assumptions!B7</f>
        <v>0.3854624024804625</v>
      </c>
      <c r="K7" s="9">
        <f>Assumptions!B7</f>
        <v>0.3854624024804625</v>
      </c>
    </row>
    <row r="8" spans="1:11" x14ac:dyDescent="0.25">
      <c r="A8" t="s">
        <v>51</v>
      </c>
      <c r="B8" s="18">
        <f>B6*B7</f>
        <v>5184126745.215888</v>
      </c>
      <c r="C8" s="18">
        <f>C6*C7</f>
        <v>5460655518.460991</v>
      </c>
      <c r="D8" s="18">
        <f>D6*D7</f>
        <v>5732589380.558357</v>
      </c>
      <c r="E8" s="18">
        <f>E6*E7</f>
        <v>5997756483.196367</v>
      </c>
      <c r="F8" s="18">
        <f>F6*F7</f>
        <v>6253941045.93632</v>
      </c>
      <c r="G8" s="18">
        <f>G6*G7</f>
        <v>6498912412.011134</v>
      </c>
      <c r="H8" s="18">
        <f>H6*H7</f>
        <v>6730455917.512436</v>
      </c>
      <c r="I8" s="18">
        <f>I6*I7</f>
        <v>6946405014.536971</v>
      </c>
      <c r="J8" s="18">
        <f>J6*J7</f>
        <v>7144674027.925783</v>
      </c>
      <c r="K8" s="18">
        <f>K6*K7</f>
        <v>7323290878.623927</v>
      </c>
    </row>
    <row r="9" spans="1:11" x14ac:dyDescent="0.25">
      <c r="A9" t="s">
        <v>52</v>
      </c>
      <c r="B9" s="18">
        <f>B8*(1-Assumptions!B8)</f>
        <v>4095460128.7205515</v>
      </c>
      <c r="C9" s="18">
        <f>C8*(1-Assumptions!B8)</f>
        <v>4313917859.584183</v>
      </c>
      <c r="D9" s="18">
        <f>D8*(1-Assumptions!B8)</f>
        <v>4528745610.641103</v>
      </c>
      <c r="E9" s="18">
        <f>E8*(1-Assumptions!B8)</f>
        <v>4738227621.72513</v>
      </c>
      <c r="F9" s="18">
        <f>F8*(1-Assumptions!B8)</f>
        <v>4940613426.289693</v>
      </c>
      <c r="G9" s="18">
        <f>G8*(1-Assumptions!B8)</f>
        <v>5134140805.488796</v>
      </c>
      <c r="H9" s="18">
        <f>H8*(1-Assumptions!B8)</f>
        <v>5317060174.834825</v>
      </c>
      <c r="I9" s="18">
        <f>I8*(1-Assumptions!B8)</f>
        <v>5487659961.484207</v>
      </c>
      <c r="J9" s="18">
        <f>J8*(1-Assumptions!B8)</f>
        <v>5644292482.061369</v>
      </c>
      <c r="K9" s="18">
        <f>K8*(1-Assumptions!B8)</f>
        <v>5785399794.112903</v>
      </c>
    </row>
    <row r="10" spans="1:11" x14ac:dyDescent="0.25">
      <c r="A10" t="s">
        <v>53</v>
      </c>
      <c r="B10" s="18">
        <f>B6*Assumptions!B9</f>
        <v>1440919879.0071287</v>
      </c>
      <c r="C10" s="18">
        <f>C6*Assumptions!B9</f>
        <v>1517780616.8071902</v>
      </c>
      <c r="D10" s="18">
        <f>D6*Assumptions!B9</f>
        <v>1593364206.2772737</v>
      </c>
      <c r="E10" s="18">
        <f>E6*Assumptions!B9</f>
        <v>1667066985.593469</v>
      </c>
      <c r="F10" s="18">
        <f>F6*Assumptions!B9</f>
        <v>1738273082.0662076</v>
      </c>
      <c r="G10" s="18">
        <f>G6*Assumptions!B9</f>
        <v>1806362488.1538343</v>
      </c>
      <c r="H10" s="18">
        <f>H6*Assumptions!B9</f>
        <v>1870719641.5046306</v>
      </c>
      <c r="I10" s="18">
        <f>I6*Assumptions!B9</f>
        <v>1930742353.5348575</v>
      </c>
      <c r="J10" s="18">
        <f>J6*Assumptions!B9</f>
        <v>1985850914.1129174</v>
      </c>
      <c r="K10" s="18">
        <f>K6*Assumptions!B9</f>
        <v>2035497186.9657402</v>
      </c>
    </row>
    <row r="11" spans="1:11" x14ac:dyDescent="0.25">
      <c r="A11" t="s">
        <v>54</v>
      </c>
      <c r="B11" s="18">
        <f>-B6*B19</f>
        <v>-2426314711.136531</v>
      </c>
      <c r="C11" s="18">
        <f>-C6*C19</f>
        <v>-2541816789.575922</v>
      </c>
      <c r="D11" s="18">
        <f>-D6*D19</f>
        <v>-2653781821.8688903</v>
      </c>
      <c r="E11" s="18">
        <f>-E6*E19</f>
        <v>-2761245075.1272254</v>
      </c>
      <c r="F11" s="18">
        <f>-F6*F19</f>
        <v>-2863243850.0721817</v>
      </c>
      <c r="G11" s="18">
        <f>-G6*G19</f>
        <v>-2958831269.5756283</v>
      </c>
      <c r="H11" s="18">
        <f>-H6*H19</f>
        <v>-3047090443.7418694</v>
      </c>
      <c r="I11" s="18">
        <f>-I6*I19</f>
        <v>-3127148727.324512</v>
      </c>
      <c r="J11" s="18">
        <f>-J6*J19</f>
        <v>-3198191769.4045362</v>
      </c>
      <c r="K11" s="18">
        <f>-K6*K19</f>
        <v>-3259477047.164433</v>
      </c>
    </row>
    <row r="12" spans="1:11" x14ac:dyDescent="0.25">
      <c r="A12" t="s">
        <v>55</v>
      </c>
      <c r="B12" s="18">
        <f>-(B6-Assumptions!B29)*Assumptions!B11</f>
        <v>-11913058.936577115</v>
      </c>
      <c r="C12" s="18">
        <f>-(C6-B6)*Assumptions!B11</f>
        <v>-6734136.097105381</v>
      </c>
      <c r="D12" s="18">
        <f>-(D6-C6)*Assumptions!B11</f>
        <v>-6622239.036051474</v>
      </c>
      <c r="E12" s="18">
        <f>-(E6-D6)*Assumptions!B11</f>
        <v>-6457452.2813100945</v>
      </c>
      <c r="F12" s="18">
        <f>-(F6-E6)*Assumptions!B11</f>
        <v>-6238705.980658114</v>
      </c>
      <c r="G12" s="18">
        <f>-(G6-F6)*Assumptions!B11</f>
        <v>-5965637.859968439</v>
      </c>
      <c r="H12" s="18">
        <f>-(H6-G6)*Assumptions!B11</f>
        <v>-5638637.383548477</v>
      </c>
      <c r="I12" s="18">
        <f>-(I6-H6)*Assumptions!B11</f>
        <v>-5258876.291044275</v>
      </c>
      <c r="J12" s="18">
        <f>-(J6-I6)*Assumptions!B11</f>
        <v>-4828324.026938177</v>
      </c>
      <c r="K12" s="18">
        <f>-(K6-J6)*Assumptions!B11</f>
        <v>-4349746.927678728</v>
      </c>
    </row>
    <row r="13" spans="1:11" x14ac:dyDescent="0.25">
      <c r="A13" s="19" t="s">
        <v>56</v>
      </c>
      <c r="B13" s="20">
        <f>B9+B10+B11+B12</f>
        <v>3098152237.654572</v>
      </c>
      <c r="C13" s="20">
        <f>C9+C10+C11+C12</f>
        <v>3283147550.718345</v>
      </c>
      <c r="D13" s="20">
        <f>D9+D10+D11+D12</f>
        <v>3461705756.0134354</v>
      </c>
      <c r="E13" s="20">
        <f>E9+E10+E11+E12</f>
        <v>3637592079.9100633</v>
      </c>
      <c r="F13" s="20">
        <f>F9+F10+F11+F12</f>
        <v>3809403952.303061</v>
      </c>
      <c r="G13" s="20">
        <f>G9+G10+G11+G12</f>
        <v>3975706386.2070336</v>
      </c>
      <c r="H13" s="20">
        <f>H9+H10+H11+H12</f>
        <v>4135050735.214037</v>
      </c>
      <c r="I13" s="20">
        <f>I9+I10+I11+I12</f>
        <v>4285994711.4035087</v>
      </c>
      <c r="J13" s="20">
        <f>J9+J10+J11+J12</f>
        <v>4427123302.742811</v>
      </c>
      <c r="K13" s="20">
        <f>K9+K10+K11+K12</f>
        <v>4557070186.98653</v>
      </c>
    </row>
    <row r="14" spans="1:11" x14ac:dyDescent="0.25">
      <c r="A14" t="s">
        <v>57</v>
      </c>
      <c r="B14" s="21">
        <f>1/(1+Assumptions!$B$26)^(1-0.5*Assumptions!$B$32)</f>
        <v>0.9592496761627757</v>
      </c>
      <c r="C14" s="21">
        <f>1/(1+Assumptions!$B$26)^(2-0.5*Assumptions!$B$32)</f>
        <v>0.8826631256316995</v>
      </c>
      <c r="D14" s="21">
        <f>1/(1+Assumptions!$B$26)^(3-0.5*Assumptions!$B$32)</f>
        <v>0.8121912497969052</v>
      </c>
      <c r="E14" s="21">
        <f>1/(1+Assumptions!$B$26)^(4-0.5*Assumptions!$B$32)</f>
        <v>0.747345852671211</v>
      </c>
      <c r="F14" s="21">
        <f>1/(1+Assumptions!$B$26)^(5-0.5*Assumptions!$B$32)</f>
        <v>0.6876777158637492</v>
      </c>
      <c r="G14" s="21">
        <f>1/(1+Assumptions!$B$26)^(6-0.5*Assumptions!$B$32)</f>
        <v>0.6327734866063842</v>
      </c>
      <c r="H14" s="21">
        <f>1/(1+Assumptions!$B$26)^(7-0.5*Assumptions!$B$32)</f>
        <v>0.5822528142402863</v>
      </c>
      <c r="I14" s="21">
        <f>1/(1+Assumptions!$B$26)^(8-0.5*Assumptions!$B$32)</f>
        <v>0.5357657153255841</v>
      </c>
      <c r="J14" s="21">
        <f>1/(1+Assumptions!$B$26)^(9-0.5*Assumptions!$B$32)</f>
        <v>0.4929901491208182</v>
      </c>
      <c r="K14" s="21">
        <f>1/(1+Assumptions!$B$26)^(10-0.5*Assumptions!$B$32)</f>
        <v>0.4536297866362575</v>
      </c>
    </row>
    <row r="15" spans="1:11" x14ac:dyDescent="0.25">
      <c r="A15" s="19" t="s">
        <v>58</v>
      </c>
      <c r="B15" s="20">
        <f>B13*B14</f>
        <v>2971901530.673127</v>
      </c>
      <c r="C15" s="20">
        <f>C13*C14</f>
        <v>2897913279.027113</v>
      </c>
      <c r="D15" s="20">
        <f>D13*D14</f>
        <v>2811567124.4056926</v>
      </c>
      <c r="E15" s="20">
        <f>E13*E14</f>
        <v>2718539354.63043</v>
      </c>
      <c r="F15" s="20">
        <f>F13*F14</f>
        <v>2619642208.7221074</v>
      </c>
      <c r="G15" s="20">
        <f>G13*G14</f>
        <v>2515721591.7234926</v>
      </c>
      <c r="H15" s="20">
        <f>H13*H14</f>
        <v>2407644927.6047378</v>
      </c>
      <c r="I15" s="20">
        <f>I13*I14</f>
        <v>2296289022.4367714</v>
      </c>
      <c r="J15" s="20">
        <f>J13*J14</f>
        <v>2182528177.1954274</v>
      </c>
      <c r="K15" s="20">
        <f>K13*K14</f>
        <v>2067222776.60915</v>
      </c>
    </row>
    <row r="17" spans="1:2" x14ac:dyDescent="0.25">
      <c r="A17" s="22" t="s">
        <v>59</v>
      </c>
      <c r="B17" s="23">
        <f>SUM(B15:K15)</f>
        <v>25488969993.028046</v>
      </c>
    </row>
    <row r="19" spans="1:11" x14ac:dyDescent="0.25">
      <c r="A19" t="s">
        <v>7</v>
      </c>
      <c r="B19" s="9">
        <f>Assumptions!$B$10+($B$20-Assumptions!$B$10)*0/9</f>
        <v>0.18040706635721515</v>
      </c>
      <c r="C19" s="9">
        <f>Assumptions!$B$10+($B$20-Assumptions!$B$10)*1/9</f>
        <v>0.17942439384113482</v>
      </c>
      <c r="D19" s="9">
        <f>Assumptions!$B$10+($B$20-Assumptions!$B$10)*2/9</f>
        <v>0.1784417213250545</v>
      </c>
      <c r="E19" s="9">
        <f>Assumptions!$B$10+($B$20-Assumptions!$B$10)*3/9</f>
        <v>0.17745904880897417</v>
      </c>
      <c r="F19" s="9">
        <f>Assumptions!$B$10+($B$20-Assumptions!$B$10)*4/9</f>
        <v>0.17647637629289384</v>
      </c>
      <c r="G19" s="9">
        <f>Assumptions!$B$10+($B$20-Assumptions!$B$10)*5/9</f>
        <v>0.17549370377681353</v>
      </c>
      <c r="H19" s="9">
        <f>Assumptions!$B$10+($B$20-Assumptions!$B$10)*6/9</f>
        <v>0.1745110312607332</v>
      </c>
      <c r="I19" s="9">
        <f>Assumptions!$B$10+($B$20-Assumptions!$B$10)*7/9</f>
        <v>0.17352835874465286</v>
      </c>
      <c r="J19" s="9">
        <f>Assumptions!$B$10+($B$20-Assumptions!$B$10)*8/9</f>
        <v>0.17254568622857255</v>
      </c>
      <c r="K19" s="9">
        <f>Assumptions!$B$10+($B$20-Assumptions!$B$10)*9/9</f>
        <v>0.17156301371249222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0.17156301371249222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4557070186.98653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5785399794.112903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0.21156357447313975</v>
      </c>
    </row>
    <row r="7" spans="1:2" x14ac:dyDescent="0.25">
      <c r="A7" t="s">
        <v>66</v>
      </c>
      <c r="B7" s="18">
        <f>-MAX(B5,0)*B6</f>
        <v>-1223979860.1986926</v>
      </c>
    </row>
    <row r="8" spans="1:2" x14ac:dyDescent="0.25">
      <c r="A8" t="s">
        <v>67</v>
      </c>
      <c r="B8" s="18">
        <f>IF(OR(Assumptions!$B$33=0,Assumptions!B12&lt;=0),B5,MAX(B5+B7,0))</f>
        <v>4561419933.91421</v>
      </c>
    </row>
    <row r="9" spans="1:2" x14ac:dyDescent="0.25">
      <c r="A9" t="s">
        <v>68</v>
      </c>
      <c r="B9" s="18">
        <f>B8*(1+Assumptions!B12)/(Assumptions!B26-Assumptions!B12)</f>
        <v>75694317598.87712</v>
      </c>
    </row>
    <row r="10" spans="1:2" x14ac:dyDescent="0.25">
      <c r="A10" t="s">
        <v>69</v>
      </c>
      <c r="B10" s="18">
        <f>B9/(1+Assumptions!B26)^(10-0.5*Assumptions!B32)</f>
        <v>34337197141.95574</v>
      </c>
    </row>
    <row r="11" spans="1:2" x14ac:dyDescent="0.25">
      <c r="A11" t="s">
        <v>70</v>
      </c>
      <c r="B11" s="18">
        <f>Forecast!B17+B10</f>
        <v>59826167134.98379</v>
      </c>
    </row>
    <row r="12" spans="1:2" x14ac:dyDescent="0.25">
      <c r="A12" t="s">
        <v>71</v>
      </c>
      <c r="B12" s="18">
        <f>-Assumptions!B30</f>
        <v>-15775000000</v>
      </c>
    </row>
    <row r="13" spans="1:2" x14ac:dyDescent="0.25">
      <c r="A13" t="s">
        <v>72</v>
      </c>
      <c r="B13" s="18">
        <f>B11+B12</f>
        <v>44051167134.98379</v>
      </c>
    </row>
    <row r="14" spans="1:2" x14ac:dyDescent="0.25">
      <c r="A14" s="19" t="s">
        <v>73</v>
      </c>
      <c r="B14" s="24">
        <f>B13/Assumptions!B31</f>
        <v>195.7829650443724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9358788065.589668</v>
      </c>
    </row>
    <row r="18" spans="1:2" x14ac:dyDescent="0.25">
      <c r="A18" t="s">
        <v>68</v>
      </c>
      <c r="B18" s="18">
        <f>B17*Assumptions!B13</f>
        <v>146596684446.86108</v>
      </c>
    </row>
    <row r="19" spans="1:2" x14ac:dyDescent="0.25">
      <c r="A19" t="s">
        <v>69</v>
      </c>
      <c r="B19" s="18">
        <f>B18/(1+Assumptions!B26)^(10-0.5*Assumptions!B32)</f>
        <v>66500622687.212364</v>
      </c>
    </row>
    <row r="20" spans="1:2" x14ac:dyDescent="0.25">
      <c r="A20" t="s">
        <v>70</v>
      </c>
      <c r="B20" s="18">
        <f>Forecast!B17+B19</f>
        <v>91989592680.24042</v>
      </c>
    </row>
    <row r="21" spans="1:2" x14ac:dyDescent="0.25">
      <c r="A21" t="s">
        <v>71</v>
      </c>
      <c r="B21" s="18">
        <f>-Assumptions!B30</f>
        <v>-15775000000</v>
      </c>
    </row>
    <row r="22" spans="1:2" x14ac:dyDescent="0.25">
      <c r="A22" t="s">
        <v>72</v>
      </c>
      <c r="B22" s="18">
        <f>B20+B21</f>
        <v>76214592680.24042</v>
      </c>
    </row>
    <row r="23" spans="1:2" x14ac:dyDescent="0.25">
      <c r="A23" s="19" t="s">
        <v>73</v>
      </c>
      <c r="B23" s="25">
        <f>B22/Assumptions!B31</f>
        <v>338.7315230232907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345.68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195.7829650443724</v>
      </c>
    </row>
    <row r="29" spans="1:2" x14ac:dyDescent="0.25">
      <c r="A29" s="19" t="s">
        <v>81</v>
      </c>
      <c r="B29" s="11">
        <f>B28/B26-1</f>
        <v>-0.43362946932315327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0.066768</v>
      </c>
      <c r="B5" s="31">
        <v>298.2710120278312</v>
      </c>
      <c r="C5" s="31">
        <v>308.96424087849744</v>
      </c>
      <c r="D5" s="31">
        <v>322.8499954189582</v>
      </c>
      <c r="E5" s="31">
        <v>341.2307094325827</v>
      </c>
      <c r="F5" s="31">
        <v>366.22878256988275</v>
      </c>
    </row>
    <row r="6" spans="1:6" x14ac:dyDescent="0.25">
      <c r="A6" s="30">
        <v>0.076768</v>
      </c>
      <c r="B6" s="31">
        <v>236.98360690219843</v>
      </c>
      <c r="C6" s="31">
        <v>241.33734195081516</v>
      </c>
      <c r="D6" s="31">
        <v>247.0143613350424</v>
      </c>
      <c r="E6" s="31">
        <v>254.4390848511973</v>
      </c>
      <c r="F6" s="31">
        <v>264.2391595491484</v>
      </c>
    </row>
    <row r="7" spans="1:6" x14ac:dyDescent="0.25">
      <c r="A7" s="30">
        <v>0.086768</v>
      </c>
      <c r="B7" s="31">
        <v>192.90670210624248</v>
      </c>
      <c r="C7" s="31">
        <v>194.05944299047715</v>
      </c>
      <c r="D7" s="32">
        <v>195.78119739020664</v>
      </c>
      <c r="E7" s="31">
        <v>198.22231766472524</v>
      </c>
      <c r="F7" s="31">
        <v>201.59124316115546</v>
      </c>
    </row>
    <row r="8" spans="1:6" x14ac:dyDescent="0.25">
      <c r="A8" s="30">
        <v>0.096768</v>
      </c>
      <c r="B8" s="31">
        <v>159.71731528102865</v>
      </c>
      <c r="C8" s="31">
        <v>159.17248620899034</v>
      </c>
      <c r="D8" s="31">
        <v>158.8633580477862</v>
      </c>
      <c r="E8" s="31">
        <v>158.84288301498333</v>
      </c>
      <c r="F8" s="31">
        <v>159.181158846076</v>
      </c>
    </row>
    <row r="9" spans="1:6" x14ac:dyDescent="0.25">
      <c r="A9" s="30">
        <v>0.106768</v>
      </c>
      <c r="B9" s="31">
        <v>133.84918889842623</v>
      </c>
      <c r="C9" s="31">
        <v>132.38751475831646</v>
      </c>
      <c r="D9" s="31">
        <v>131.0062678861193</v>
      </c>
      <c r="E9" s="31">
        <v>129.72116328051527</v>
      </c>
      <c r="F9" s="31">
        <v>128.55229532895947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12180000000</v>
      </c>
      <c r="C5" s="18">
        <v>12123000000</v>
      </c>
      <c r="D5" s="18">
        <v>12156000000</v>
      </c>
      <c r="E5" s="18">
        <v>12745000000</v>
      </c>
      <c r="F5" s="6" t="s">
        <v>91</v>
      </c>
    </row>
    <row r="6" spans="1:6" x14ac:dyDescent="0.25">
      <c r="A6" t="s">
        <v>51</v>
      </c>
      <c r="B6" s="18">
        <v>4571000000</v>
      </c>
      <c r="C6" s="18">
        <v>4877000000</v>
      </c>
      <c r="D6" s="18">
        <v>4326000000</v>
      </c>
      <c r="E6" s="18">
        <v>5205000000</v>
      </c>
      <c r="F6" s="6" t="s">
        <v>92</v>
      </c>
    </row>
    <row r="7" spans="1:6" x14ac:dyDescent="0.25">
      <c r="A7" t="s">
        <v>93</v>
      </c>
      <c r="B7" s="18">
        <v>1393000000</v>
      </c>
      <c r="C7" s="18">
        <v>1353000000</v>
      </c>
      <c r="D7" s="18">
        <v>1298000000</v>
      </c>
      <c r="E7" s="18">
        <v>1221000000</v>
      </c>
      <c r="F7" s="6" t="s">
        <v>94</v>
      </c>
    </row>
    <row r="8" spans="1:6" x14ac:dyDescent="0.25">
      <c r="A8" t="s">
        <v>95</v>
      </c>
      <c r="B8" s="18">
        <v>2204000000</v>
      </c>
      <c r="C8" s="18">
        <v>2381000000</v>
      </c>
      <c r="D8" s="18">
        <v>2327000000</v>
      </c>
      <c r="E8" s="18">
        <v>1948000000</v>
      </c>
      <c r="F8" s="6" t="s">
        <v>96</v>
      </c>
    </row>
    <row r="9" spans="1:6" x14ac:dyDescent="0.25">
      <c r="A9" t="s">
        <v>97</v>
      </c>
      <c r="B9" s="18">
        <v>-301000000</v>
      </c>
      <c r="C9" s="18">
        <v>-625000000</v>
      </c>
      <c r="D9" s="18">
        <v>-368000000</v>
      </c>
      <c r="E9" s="18">
        <v>201000000</v>
      </c>
      <c r="F9" s="6" t="s">
        <v>98</v>
      </c>
    </row>
    <row r="10" spans="1:6" x14ac:dyDescent="0.25">
      <c r="A10" t="s">
        <v>99</v>
      </c>
      <c r="B10" s="18">
        <v>17305000000</v>
      </c>
      <c r="C10" s="18">
        <v>17478000000</v>
      </c>
      <c r="D10" s="18">
        <v>17571000000</v>
      </c>
      <c r="E10" s="18">
        <v>15592000000</v>
      </c>
      <c r="F10" s="6" t="s">
        <v>100</v>
      </c>
    </row>
    <row r="11" spans="1:6" x14ac:dyDescent="0.25">
      <c r="A11" t="s">
        <v>101</v>
      </c>
      <c r="B11" s="18">
        <v>1530000000</v>
      </c>
      <c r="C11" s="18">
        <v>1641000000</v>
      </c>
      <c r="D11" s="18">
        <v>1568000000</v>
      </c>
      <c r="E11" s="18">
        <v>456000000</v>
      </c>
      <c r="F11" s="6" t="s">
        <v>102</v>
      </c>
    </row>
    <row r="12" spans="1:6" x14ac:dyDescent="0.25">
      <c r="A12" t="s">
        <v>34</v>
      </c>
      <c r="B12" s="34">
        <v>225000000</v>
      </c>
      <c r="C12" s="34">
        <v>226400000</v>
      </c>
      <c r="D12" s="34">
        <v>227400000</v>
      </c>
      <c r="E12" s="34">
        <v>235600000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