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<sst xmlns="http://schemas.openxmlformats.org/spreadsheetml/2006/main" count="113" uniqueCount="101">
  <si>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Northern Star Resources Limited (NST.AX)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</si>
  <si>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</si>
  <si>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</si>
  <si>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</si>
  <si>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</si>
  <si>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</si>
  <si>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</si>
  <si>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</si>
  <si>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</si>
  <si>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</si>
  <si>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</si>
  <si>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</si>
  <si>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</si>
  <si>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</si>
  <si>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</si>
  <si>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</si>
  <si>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</si>
  <si>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</si>
  <si>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</si>
  <si>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</si>
  <si>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</si>
  <si>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</si>
  <si>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</si>
  <si>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</si>
  <si>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</si>
  <si>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</si>
  <si>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</si>
  <si>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</si>
  <si>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</si>
  <si>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</si>
  <si>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</si>
  <si>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</si>
  <si>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</si>
  <si>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</si>
  <si>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</si>
  <si>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</si>
  <si>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</si>
  <si>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</si>
  <si>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</si>
  <si>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</si>
  <si>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</si>
  <si>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</si>
  <si>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</si>
  <si>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</si>
  <si>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</si>
  <si>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</si>
  <si>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</si>
  <si>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</si>
  <si>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</si>
  <si>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</si>
  <si>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</si>
  <si>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</si>
  <si>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</si>
  <si>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</si>
  <si>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</si>
  <si>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</si>
  <si>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</si>
  <si>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</si>
  <si>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</si>
  <si>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</si>
  <si>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</si>
  <si>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</si>
  <si>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</si>
  <si>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</si>
  <si>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</si>
  <si>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</si>
  <si>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</si>
  <si>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</si>
  <si>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</si>
  <si>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</si>
  <si>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</si>
  <si>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</si>
  <si>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</si>
  <si>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</si>
  <si>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</si>
  <si>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</si>
  <si>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</si>
  <si>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</si>
  <si>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</si>
  <si>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</si>
  <si>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</si>
  <si>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</si>
  <si>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</si>
  <si>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</si>
  <si>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</si>
  <si>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</si>
  <si>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</si>
  <si>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</si>
  <si>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</si>
  <si>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</si>
  <si>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</si>
  <si>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</si>
  <si>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</si>
  <si>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</si>
  <si>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</si>
  <si>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</si>
  <si>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</si>
  <si>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</si>
  <si>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</si>
  <si>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Capital expenditure runs at 31.9% of revenue against depreciation of 18.3%.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</si>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</sst>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0.22655954459858796</v>
      </c>
    </row>
    <row r="7" spans="1:2" x14ac:dyDescent="0.25">
      <c r="A7" t="s">
        <v>5</v>
      </c>
      <c r="B7" s="6">
        <v>0.2621149410101911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0.18304318593195157</v>
      </c>
    </row>
    <row r="10" spans="1:2" x14ac:dyDescent="0.25">
      <c r="A10" t="s">
        <v>8</v>
      </c>
      <c r="B10" s="6">
        <v>0.31911153150863103</v>
      </c>
    </row>
    <row r="11" spans="1:2" x14ac:dyDescent="0.25">
      <c r="A11" t="s">
        <v>9</v>
      </c>
      <c r="B11" s="6">
        <v>0.05429470442525273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7.907200422349318</v>
      </c>
    </row>
    <row r="14" spans="1:3" x14ac:dyDescent="0.25">
      <c r="A14" t="s">
        <v>12</v>
      </c>
      <c r="B14" s="6">
        <v>0.12502262031545308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1.25996</v>
      </c>
      <c r="C19" s="8" t="s">
        <v>19</v>
      </c>
    </row>
    <row r="20" spans="1:2" x14ac:dyDescent="0.25">
      <c r="A20" t="s">
        <v>20</v>
      </c>
      <c r="B20" s="10">
        <f>B17+B19*B18</f>
        <v>0.12907760000000001</v>
      </c>
    </row>
    <row r="21" spans="1:3" x14ac:dyDescent="0.25">
      <c r="A21" t="s">
        <v>21</v>
      </c>
      <c r="B21" s="6">
        <v>0.07231651576465108</v>
      </c>
      <c r="C21" s="8" t="s">
        <v>22</v>
      </c>
    </row>
    <row r="22" spans="1:2" x14ac:dyDescent="0.25">
      <c r="A22" t="s">
        <v>23</v>
      </c>
      <c r="B22" s="11">
        <v>31644919808</v>
      </c>
    </row>
    <row r="23" spans="1:2" x14ac:dyDescent="0.25">
      <c r="A23" t="s">
        <v>24</v>
      </c>
      <c r="B23" s="11">
        <v>1724700000</v>
      </c>
    </row>
    <row r="24" spans="1:2" x14ac:dyDescent="0.25">
      <c r="A24" t="s">
        <v>25</v>
      </c>
      <c r="B24" s="10">
        <f>B22/(B22+B23)</f>
        <v>0.9483152637062253</v>
      </c>
    </row>
    <row r="25" spans="1:2" x14ac:dyDescent="0.25">
      <c r="A25" t="s">
        <v>26</v>
      </c>
      <c r="B25" s="10">
        <f>1-B24</f>
        <v>0.05168473629377468</v>
      </c>
    </row>
    <row r="26" spans="1:2" x14ac:dyDescent="0.25">
      <c r="A26" t="s">
        <v>27</v>
      </c>
      <c r="B26" s="12">
        <f>B24*B20+B25*B21*(1-B8)</f>
        <v>0.12502262031545308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7623100000</v>
      </c>
      <c r="C29" s="8" t="s">
        <v>30</v>
      </c>
    </row>
    <row r="30" spans="1:2" x14ac:dyDescent="0.25">
      <c r="A30" t="s">
        <v>31</v>
      </c>
      <c r="B30" s="11">
        <v>706600000</v>
      </c>
    </row>
    <row r="31" spans="1:2" x14ac:dyDescent="0.25">
      <c r="A31" t="s">
        <v>32</v>
      </c>
      <c r="B31" s="13">
        <v>1438461538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0.22655954459858796</v>
      </c>
      <c r="C5" s="10">
        <f>Assumptions!B6</f>
        <v>0.22655954459858796</v>
      </c>
      <c r="D5" s="10">
        <f>Assumptions!B6</f>
        <v>0.22655954459858796</v>
      </c>
      <c r="E5" s="10">
        <f>Assumptions!B6</f>
        <v>0.22655954459858796</v>
      </c>
      <c r="F5" s="10">
        <f>Assumptions!B6</f>
        <v>0.22655954459858796</v>
      </c>
    </row>
    <row r="6" spans="1:6" x14ac:dyDescent="0.25">
      <c r="A6" t="s">
        <v>43</v>
      </c>
      <c r="B6" s="18">
        <f>Assumptions!B29*(1+B5)</f>
        <v>9350186064.429497</v>
      </c>
      <c r="C6" s="18">
        <f>B6*(1+C5)</f>
        <v>11468559961.098707</v>
      </c>
      <c r="D6" s="18">
        <f>C6*(1+D5)</f>
        <v>14066871683.08683</v>
      </c>
      <c r="E6" s="18">
        <f>D6*(1+E5)</f>
        <v>17253855725.533756</v>
      </c>
      <c r="F6" s="18">
        <f>E6*(1+F5)</f>
        <v>21162881421.280422</v>
      </c>
    </row>
    <row r="7" spans="1:6" x14ac:dyDescent="0.25">
      <c r="A7" t="s">
        <v>5</v>
      </c>
      <c r="B7" s="10">
        <f>Assumptions!B7</f>
        <v>0.2621149410101911</v>
      </c>
      <c r="C7" s="10">
        <f>Assumptions!B7</f>
        <v>0.2621149410101911</v>
      </c>
      <c r="D7" s="10">
        <f>Assumptions!B7</f>
        <v>0.2621149410101911</v>
      </c>
      <c r="E7" s="10">
        <f>Assumptions!B7</f>
        <v>0.2621149410101911</v>
      </c>
      <c r="F7" s="10">
        <f>Assumptions!B7</f>
        <v>0.2621149410101911</v>
      </c>
    </row>
    <row r="8" spans="1:6" x14ac:dyDescent="0.25">
      <c r="A8" t="s">
        <v>44</v>
      </c>
      <c r="B8" s="18">
        <f>B6*B7</f>
        <v>2450823468.712249</v>
      </c>
      <c r="C8" s="18">
        <f>C6*C7</f>
        <v>3006080917.675227</v>
      </c>
      <c r="D8" s="18">
        <f>D6*D7</f>
        <v>3687137241.410232</v>
      </c>
      <c r="E8" s="18">
        <f>E6*E7</f>
        <v>4522493375.696629</v>
      </c>
      <c r="F8" s="18">
        <f>F6*F7</f>
        <v>5547107415.344587</v>
      </c>
    </row>
    <row r="9" spans="1:6" x14ac:dyDescent="0.25">
      <c r="A9" t="s">
        <v>45</v>
      </c>
      <c r="B9" s="18">
        <f>B8*(1-Assumptions!B8)</f>
        <v>1715576428.0985742</v>
      </c>
      <c r="C9" s="18">
        <f>C8*(1-Assumptions!B8)</f>
        <v>2104256642.372659</v>
      </c>
      <c r="D9" s="18">
        <f>D8*(1-Assumptions!B8)</f>
        <v>2580996068.987162</v>
      </c>
      <c r="E9" s="18">
        <f>E8*(1-Assumptions!B8)</f>
        <v>3165745362.98764</v>
      </c>
      <c r="F9" s="18">
        <f>F8*(1-Assumptions!B8)</f>
        <v>3882975190.741211</v>
      </c>
    </row>
    <row r="10" spans="1:6" x14ac:dyDescent="0.25">
      <c r="A10" t="s">
        <v>46</v>
      </c>
      <c r="B10" s="18">
        <f>B6*Assumptions!B9</f>
        <v>1711487846.2897108</v>
      </c>
      <c r="C10" s="18">
        <f>C6*Assumptions!B9</f>
        <v>2099241753.331126</v>
      </c>
      <c r="D10" s="18">
        <f>D6*Assumptions!B9</f>
        <v>2574845008.9681673</v>
      </c>
      <c r="E10" s="18">
        <f>E6*Assumptions!B9</f>
        <v>3158200721.6119423</v>
      </c>
      <c r="F10" s="18">
        <f>F6*Assumptions!B9</f>
        <v>3873721238.851276</v>
      </c>
    </row>
    <row r="11" spans="1:6" x14ac:dyDescent="0.25">
      <c r="A11" t="s">
        <v>47</v>
      </c>
      <c r="B11" s="18">
        <f>-B6*Assumptions!B10</f>
        <v>-2983752194.910756</v>
      </c>
      <c r="C11" s="18">
        <f>-C6*Assumptions!B10</f>
        <v>-3659749733.384774</v>
      </c>
      <c r="D11" s="18">
        <f>-D6*Assumptions!B10</f>
        <v>-4488900966.3252325</v>
      </c>
      <c r="E11" s="18">
        <f>-E6*Assumptions!B10</f>
        <v>-5505904325.004039</v>
      </c>
      <c r="F11" s="18">
        <f>-F6*Assumptions!B10</f>
        <v>-6753319501.48035</v>
      </c>
    </row>
    <row r="12" spans="1:6" x14ac:dyDescent="0.25">
      <c r="A12" t="s">
        <v>48</v>
      </c>
      <c r="B12" s="18">
        <f>-(B6-Assumptions!B29)*Assumptions!B11</f>
        <v>-93771627.38517252</v>
      </c>
      <c r="C12" s="18">
        <f>-(C6-B6)*Assumptions!B11</f>
        <v>-115016484.58182564</v>
      </c>
      <c r="D12" s="18">
        <f>-(D6-C6)*Assumptions!B11</f>
        <v>-141074566.95001456</v>
      </c>
      <c r="E12" s="18">
        <f>-(E6-D6)*Assumptions!B11</f>
        <v>-173036356.59265295</v>
      </c>
      <c r="F12" s="18">
        <f>-(F6-E6)*Assumptions!B11</f>
        <v>-212239394.74128312</v>
      </c>
    </row>
    <row r="13" spans="1:6" x14ac:dyDescent="0.25">
      <c r="A13" s="19" t="s">
        <v>49</v>
      </c>
      <c r="B13" s="20">
        <f>B9+B10+B11+B12</f>
        <v>349540452.0923561</v>
      </c>
      <c r="C13" s="20">
        <f>C9+C10+C11+C12</f>
        <v>428732177.7371851</v>
      </c>
      <c r="D13" s="20">
        <f>D9+D10+D11+D12</f>
        <v>525865544.6800828</v>
      </c>
      <c r="E13" s="20">
        <f>E9+E10+E11+E12</f>
        <v>645005403.002891</v>
      </c>
      <c r="F13" s="20">
        <f>F9+F10+F11+F12</f>
        <v>791137533.3708546</v>
      </c>
    </row>
    <row r="14" spans="1:6" x14ac:dyDescent="0.25">
      <c r="A14" t="s">
        <v>50</v>
      </c>
      <c r="B14" s="21">
        <f>1/(1+Assumptions!$B$26)^(1-0.5*Assumptions!$B$32)</f>
        <v>0.9427995632192508</v>
      </c>
      <c r="C14" s="21">
        <f>1/(1+Assumptions!$B$26)^(2-0.5*Assumptions!$B$32)</f>
        <v>0.8380272060262154</v>
      </c>
      <c r="D14" s="21">
        <f>1/(1+Assumptions!$B$26)^(3-0.5*Assumptions!$B$32)</f>
        <v>0.7448980943967464</v>
      </c>
      <c r="E14" s="21">
        <f>1/(1+Assumptions!$B$26)^(4-0.5*Assumptions!$B$32)</f>
        <v>0.6621183262856342</v>
      </c>
      <c r="F14" s="21">
        <f>1/(1+Assumptions!$B$26)^(5-0.5*Assumptions!$B$32)</f>
        <v>0.5885377896668229</v>
      </c>
    </row>
    <row r="15" spans="1:6" x14ac:dyDescent="0.25">
      <c r="A15" s="19" t="s">
        <v>51</v>
      </c>
      <c r="B15" s="20">
        <f>B13*B14</f>
        <v>329546585.5601328</v>
      </c>
      <c r="C15" s="20">
        <f>C13*C14</f>
        <v>359289229.04262805</v>
      </c>
      <c r="D15" s="20">
        <f>D13*D14</f>
        <v>391716242.14110076</v>
      </c>
      <c r="E15" s="20">
        <f>E13*E14</f>
        <v>427069897.8814651</v>
      </c>
      <c r="F15" s="20">
        <f>F13*F14</f>
        <v>465614335.2125451</v>
      </c>
    </row>
    <row r="17" spans="1:2" x14ac:dyDescent="0.25">
      <c r="A17" s="22" t="s">
        <v>52</v>
      </c>
      <c r="B17" s="23">
        <f>SUM(B15:F15)</f>
        <v>1973236289.8378718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791137533.3708546</v>
      </c>
    </row>
    <row r="5" spans="1:2" x14ac:dyDescent="0.25">
      <c r="A5" t="s">
        <v>56</v>
      </c>
      <c r="B5" s="18">
        <f>IF(Assumptions!$B$33=0,B4,B4-Forecast!F11-Forecast!F10-Forecast!F12)</f>
        <v>3882975190.741211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0.19996381404357708</v>
      </c>
    </row>
    <row r="7" spans="1:2" x14ac:dyDescent="0.25">
      <c r="A7" t="s">
        <v>58</v>
      </c>
      <c r="B7" s="18">
        <f>-MAX(Forecast!F9,0)*B6</f>
        <v>-776454528.9771987</v>
      </c>
    </row>
    <row r="8" spans="1:2" x14ac:dyDescent="0.25">
      <c r="A8" t="s">
        <v>59</v>
      </c>
      <c r="B8" s="18">
        <f>IF(OR(Assumptions!$B$33=0,Assumptions!B12&lt;=0),B5,MAX(B5+B7,0))</f>
        <v>3106520661.7640123</v>
      </c>
    </row>
    <row r="9" spans="1:2" x14ac:dyDescent="0.25">
      <c r="A9" t="s">
        <v>60</v>
      </c>
      <c r="B9" s="18">
        <f>B8*(1+Assumptions!B12)/(Assumptions!B26-Assumptions!B12)</f>
        <v>31834635688.06514</v>
      </c>
    </row>
    <row r="10" spans="1:2" x14ac:dyDescent="0.25">
      <c r="A10" t="s">
        <v>61</v>
      </c>
      <c r="B10" s="18">
        <f>B9/(1+Assumptions!B26)^(5-0.5*Assumptions!B32)</f>
        <v>18735886122.702415</v>
      </c>
    </row>
    <row r="11" spans="1:2" x14ac:dyDescent="0.25">
      <c r="A11" t="s">
        <v>62</v>
      </c>
      <c r="B11" s="18">
        <f>Forecast!B17+B10</f>
        <v>20709122412.540287</v>
      </c>
    </row>
    <row r="12" spans="1:2" x14ac:dyDescent="0.25">
      <c r="A12" t="s">
        <v>63</v>
      </c>
      <c r="B12" s="18">
        <f>-Assumptions!B30</f>
        <v>-706600000</v>
      </c>
    </row>
    <row r="13" spans="1:2" x14ac:dyDescent="0.25">
      <c r="A13" t="s">
        <v>64</v>
      </c>
      <c r="B13" s="18">
        <f>B11+B12</f>
        <v>20002522412.540287</v>
      </c>
    </row>
    <row r="14" spans="1:2" x14ac:dyDescent="0.25">
      <c r="A14" s="19" t="s">
        <v>65</v>
      </c>
      <c r="B14" s="24">
        <f>B13/Assumptions!B31</f>
        <v>13.905496868794476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9420828654.195864</v>
      </c>
    </row>
    <row r="18" spans="1:2" x14ac:dyDescent="0.25">
      <c r="A18" t="s">
        <v>60</v>
      </c>
      <c r="B18" s="18">
        <f>B17*Assumptions!B13</f>
        <v>74492380313.33809</v>
      </c>
    </row>
    <row r="19" spans="1:2" x14ac:dyDescent="0.25">
      <c r="A19" t="s">
        <v>61</v>
      </c>
      <c r="B19" s="18">
        <f>B18/(1+Assumptions!B26)^(5-0.5*Assumptions!B32)</f>
        <v>43841580856.632355</v>
      </c>
    </row>
    <row r="20" spans="1:2" x14ac:dyDescent="0.25">
      <c r="A20" t="s">
        <v>62</v>
      </c>
      <c r="B20" s="18">
        <f>Forecast!B17+B19</f>
        <v>45814817146.47023</v>
      </c>
    </row>
    <row r="21" spans="1:2" x14ac:dyDescent="0.25">
      <c r="A21" t="s">
        <v>63</v>
      </c>
      <c r="B21" s="18">
        <f>-Assumptions!B30</f>
        <v>-706600000</v>
      </c>
    </row>
    <row r="22" spans="1:2" x14ac:dyDescent="0.25">
      <c r="A22" t="s">
        <v>64</v>
      </c>
      <c r="B22" s="18">
        <f>B20+B21</f>
        <v>45108217146.47023</v>
      </c>
    </row>
    <row r="23" spans="1:2" x14ac:dyDescent="0.25">
      <c r="A23" s="19" t="s">
        <v>65</v>
      </c>
      <c r="B23" s="25">
        <f>B22/Assumptions!B31</f>
        <v>31.35865364129759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22.21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13.905496868794476</v>
      </c>
    </row>
    <row r="29" spans="1:2" x14ac:dyDescent="0.25">
      <c r="A29" s="19" t="s">
        <v>73</v>
      </c>
      <c r="B29" s="12">
        <f>B28/B26-1</f>
        <v>-0.37390829046400387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0.105023</v>
      </c>
      <c r="B5" s="31">
        <v>17.593102216976913</v>
      </c>
      <c r="C5" s="31">
        <v>17.67509601754123</v>
      </c>
      <c r="D5" s="31">
        <v>17.757089818105538</v>
      </c>
      <c r="E5" s="31">
        <v>17.839083618669854</v>
      </c>
      <c r="F5" s="31">
        <v>17.92107741923417</v>
      </c>
    </row>
    <row r="6" spans="1:6" x14ac:dyDescent="0.25">
      <c r="A6" s="30">
        <v>0.115023</v>
      </c>
      <c r="B6" s="31">
        <v>15.5076524783376</v>
      </c>
      <c r="C6" s="31">
        <v>15.57954346749672</v>
      </c>
      <c r="D6" s="31">
        <v>15.651434456655839</v>
      </c>
      <c r="E6" s="31">
        <v>15.723325445814957</v>
      </c>
      <c r="F6" s="31">
        <v>15.795216434974071</v>
      </c>
    </row>
    <row r="7" spans="1:6" x14ac:dyDescent="0.25">
      <c r="A7" s="30">
        <v>0.125023</v>
      </c>
      <c r="B7" s="31">
        <v>13.778364214561233</v>
      </c>
      <c r="C7" s="31">
        <v>13.841900254753476</v>
      </c>
      <c r="D7" s="32">
        <v>13.905436294945718</v>
      </c>
      <c r="E7" s="31">
        <v>13.968972335137963</v>
      </c>
      <c r="F7" s="31">
        <v>14.032508375330204</v>
      </c>
    </row>
    <row r="8" spans="1:6" x14ac:dyDescent="0.25">
      <c r="A8" s="30">
        <v>0.135023</v>
      </c>
      <c r="B8" s="31">
        <v>12.324940020779144</v>
      </c>
      <c r="C8" s="31">
        <v>12.381473749857248</v>
      </c>
      <c r="D8" s="31">
        <v>12.438007478935349</v>
      </c>
      <c r="E8" s="31">
        <v>12.494541208013459</v>
      </c>
      <c r="F8" s="31">
        <v>12.55107493709156</v>
      </c>
    </row>
    <row r="9" spans="1:6" x14ac:dyDescent="0.25">
      <c r="A9" s="30">
        <v>0.145023</v>
      </c>
      <c r="B9" s="31">
        <v>11.089299350607805</v>
      </c>
      <c r="C9" s="31">
        <v>11.139897605009288</v>
      </c>
      <c r="D9" s="31">
        <v>11.190495859410772</v>
      </c>
      <c r="E9" s="31">
        <v>11.241094113812261</v>
      </c>
      <c r="F9" s="31">
        <v>11.291692368213745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7623100000</v>
      </c>
      <c r="C5" s="18">
        <v>6414900000</v>
      </c>
      <c r="D5" s="18">
        <v>4921200000</v>
      </c>
      <c r="E5" s="18">
        <v>4131100000</v>
      </c>
      <c r="F5" s="8" t="s">
        <v>84</v>
      </c>
    </row>
    <row r="6" spans="1:6" x14ac:dyDescent="0.25">
      <c r="A6" t="s">
        <v>44</v>
      </c>
      <c r="B6" s="18">
        <v>2495800000</v>
      </c>
      <c r="C6" s="18">
        <v>1987300000</v>
      </c>
      <c r="D6" s="18">
        <v>988600000</v>
      </c>
      <c r="E6" s="18">
        <v>869100000</v>
      </c>
      <c r="F6" s="8" t="s">
        <v>85</v>
      </c>
    </row>
    <row r="7" spans="1:6" x14ac:dyDescent="0.25">
      <c r="A7" t="s">
        <v>86</v>
      </c>
      <c r="B7" s="18">
        <v>1595600000</v>
      </c>
      <c r="C7" s="18">
        <v>1365200000</v>
      </c>
      <c r="D7" s="18">
        <v>1132200000</v>
      </c>
      <c r="E7" s="18">
        <v>330400000</v>
      </c>
      <c r="F7" s="8" t="s">
        <v>87</v>
      </c>
    </row>
    <row r="8" spans="1:6" x14ac:dyDescent="0.25">
      <c r="A8" t="s">
        <v>88</v>
      </c>
      <c r="B8" s="18">
        <v>2712700000</v>
      </c>
      <c r="C8" s="18">
        <v>2296500000</v>
      </c>
      <c r="D8" s="18">
        <v>1504500000</v>
      </c>
      <c r="E8" s="18">
        <v>1061200000</v>
      </c>
      <c r="F8" s="8" t="s">
        <v>89</v>
      </c>
    </row>
    <row r="9" spans="1:6" x14ac:dyDescent="0.25">
      <c r="A9" t="s">
        <v>90</v>
      </c>
      <c r="B9" s="18">
        <v>357300000</v>
      </c>
      <c r="C9" s="18">
        <v>81100000</v>
      </c>
      <c r="D9" s="18">
        <v>-98000000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1724700000</v>
      </c>
      <c r="C10" s="18">
        <v>1710200000</v>
      </c>
      <c r="D10" s="18">
        <v>1344300000</v>
      </c>
      <c r="E10" s="18">
        <v>1322100000</v>
      </c>
      <c r="F10" s="8" t="s">
        <v>93</v>
      </c>
    </row>
    <row r="11" spans="1:6" x14ac:dyDescent="0.25">
      <c r="A11" t="s">
        <v>94</v>
      </c>
      <c r="B11" s="18">
        <v>1018100000</v>
      </c>
      <c r="C11" s="18">
        <v>1690200000</v>
      </c>
      <c r="D11" s="18">
        <v>1119600000</v>
      </c>
      <c r="E11" s="18">
        <v>1133300000</v>
      </c>
      <c r="F11" s="8" t="s">
        <v>95</v>
      </c>
    </row>
    <row r="12" spans="1:6" x14ac:dyDescent="0.25">
      <c r="A12" t="s">
        <v>32</v>
      </c>
      <c r="B12" s="34">
        <v>1438461538</v>
      </c>
      <c r="C12" s="34">
        <v>1200448029</v>
      </c>
      <c r="D12" s="34">
        <v>1158802178</v>
      </c>
      <c r="E12" s="34">
        <v>1163419483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2026-09-19T01:04:02Z</dcterms:modified>
</cp:coreProperties>
</file>