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<sst xmlns="http://schemas.openxmlformats.org/spreadsheetml/2006/main" count="120" uniqueCount="107">
  <si>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NetApp, Inc. (NTAP)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</si>
  <si>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</si>
  <si>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</si>
  <si>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</si>
  <si>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</si>
  <si>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</si>
  <si>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</si>
  <si>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</si>
  <si>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</si>
  <si>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</si>
  <si>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</si>
  <si>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</si>
  <si>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</si>
  <si>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</si>
  <si>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</si>
  <si>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</si>
  <si>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</si>
  <si>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</si>
  <si>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</si>
  <si>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</si>
  <si>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</si>
  <si>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</si>
  <si>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</si>
  <si>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</si>
  <si>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15.6x interest cover.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</si>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</sst>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0.18158851263537912</v>
      </c>
    </row>
    <row r="7" spans="1:2" x14ac:dyDescent="0.25">
      <c r="A7" t="s">
        <v>4</v>
      </c>
      <c r="B7" s="5">
        <v>0.2115167786062948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0.03638004947183961</v>
      </c>
    </row>
    <row r="10" spans="1:3" x14ac:dyDescent="0.25">
      <c r="A10" t="s">
        <v>7</v>
      </c>
      <c r="B10" s="5">
        <v>0.02911265907163066</v>
      </c>
      <c r="C10" s="6" t="s">
        <v>8</v>
      </c>
    </row>
    <row r="11" spans="1:2" x14ac:dyDescent="0.25">
      <c r="A11" t="s">
        <v>9</v>
      </c>
      <c r="B11" s="5">
        <v>0.12732365114618951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0.27323252308272095</v>
      </c>
      <c r="C14" s="6" t="s">
        <v>13</v>
      </c>
    </row>
    <row r="15" spans="1:3" x14ac:dyDescent="0.25">
      <c r="A15" t="s">
        <v>14</v>
      </c>
      <c r="B15" s="5">
        <v>0.028927766393528908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1.3014999999999999</v>
      </c>
      <c r="C19" s="6" t="s">
        <v>21</v>
      </c>
    </row>
    <row r="20" spans="1:2" x14ac:dyDescent="0.25">
      <c r="A20" t="s">
        <v>22</v>
      </c>
      <c r="B20" s="9">
        <f>B17+B19*B18</f>
        <v>0.10399344999999999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39122735104</v>
      </c>
    </row>
    <row r="23" spans="1:2" x14ac:dyDescent="0.25">
      <c r="A23" t="s">
        <v>26</v>
      </c>
      <c r="B23" s="10">
        <v>2733000000</v>
      </c>
    </row>
    <row r="24" spans="1:2" x14ac:dyDescent="0.25">
      <c r="A24" t="s">
        <v>27</v>
      </c>
      <c r="B24" s="9">
        <f>B22/(B22+B23)</f>
        <v>0.9347042885948784</v>
      </c>
    </row>
    <row r="25" spans="1:2" x14ac:dyDescent="0.25">
      <c r="A25" t="s">
        <v>28</v>
      </c>
      <c r="B25" s="9">
        <f>1-B24</f>
        <v>0.06529571140512158</v>
      </c>
    </row>
    <row r="26" spans="1:2" x14ac:dyDescent="0.25">
      <c r="A26" t="s">
        <v>29</v>
      </c>
      <c r="B26" s="11">
        <f>B24*B20+B25*B21*(1-B8)</f>
        <v>0.09993396012058889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6925000000</v>
      </c>
      <c r="C29" s="6" t="s">
        <v>32</v>
      </c>
    </row>
    <row r="30" spans="1:2" x14ac:dyDescent="0.25">
      <c r="A30" t="s">
        <v>33</v>
      </c>
      <c r="B30" s="10">
        <v>-851000000</v>
      </c>
    </row>
    <row r="31" spans="1:2" x14ac:dyDescent="0.25">
      <c r="A31" t="s">
        <v>34</v>
      </c>
      <c r="B31" s="12">
        <v>201000000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0.18158851263537912</v>
      </c>
      <c r="C5" s="5">
        <v>0.05972610731723216</v>
      </c>
      <c r="D5" s="5">
        <v>0.05538534390257814</v>
      </c>
      <c r="E5" s="5">
        <v>0.05104458048792412</v>
      </c>
      <c r="F5" s="5">
        <v>0.0467038170732701</v>
      </c>
      <c r="G5" s="5">
        <v>0.042363053658616076</v>
      </c>
      <c r="H5" s="5">
        <v>0.03802229024396206</v>
      </c>
      <c r="I5" s="5">
        <v>0.03368152682930804</v>
      </c>
      <c r="J5" s="5">
        <v>0.029340763414654022</v>
      </c>
      <c r="K5" s="5">
        <v>0.025</v>
      </c>
    </row>
    <row r="6" spans="1:11" x14ac:dyDescent="0.25">
      <c r="A6" t="s">
        <v>50</v>
      </c>
      <c r="B6" s="18">
        <f>Assumptions!B29*(1+B5)</f>
        <v>8182500450</v>
      </c>
      <c r="C6" s="18">
        <f>B6*(1+C5)</f>
        <v>8671209350</v>
      </c>
      <c r="D6" s="18">
        <f>C6*(1+D5)</f>
        <v>9151467261.901001</v>
      </c>
      <c r="E6" s="18">
        <f>D6*(1+E5)</f>
        <v>9618600069.133709</v>
      </c>
      <c r="F6" s="18">
        <f>E6*(1+F5)</f>
        <v>10067825407.263474</v>
      </c>
      <c r="G6" s="18">
        <f>F6*(1+G5)</f>
        <v>10494329235.216955</v>
      </c>
      <c r="H6" s="18">
        <f>G6*(1+H5)</f>
        <v>10893347667.31407</v>
      </c>
      <c r="I6" s="18">
        <f>H6*(1+I5)</f>
        <v>11260252249.031689</v>
      </c>
      <c r="J6" s="18">
        <f>I6*(1+J5)</f>
        <v>11590636646.259853</v>
      </c>
      <c r="K6" s="18">
        <f>J6*(1+K5)</f>
        <v>11880402562.41635</v>
      </c>
    </row>
    <row r="7" spans="1:11" x14ac:dyDescent="0.25">
      <c r="A7" t="s">
        <v>4</v>
      </c>
      <c r="B7" s="9">
        <f>Assumptions!B7</f>
        <v>0.2115167786062948</v>
      </c>
      <c r="C7" s="9">
        <f>Assumptions!B7</f>
        <v>0.2115167786062948</v>
      </c>
      <c r="D7" s="9">
        <f>Assumptions!B7</f>
        <v>0.2115167786062948</v>
      </c>
      <c r="E7" s="9">
        <f>Assumptions!B7</f>
        <v>0.2115167786062948</v>
      </c>
      <c r="F7" s="9">
        <f>Assumptions!B7</f>
        <v>0.2115167786062948</v>
      </c>
      <c r="G7" s="9">
        <f>Assumptions!B7</f>
        <v>0.2115167786062948</v>
      </c>
      <c r="H7" s="9">
        <f>Assumptions!B7</f>
        <v>0.2115167786062948</v>
      </c>
      <c r="I7" s="9">
        <f>Assumptions!B7</f>
        <v>0.2115167786062948</v>
      </c>
      <c r="J7" s="9">
        <f>Assumptions!B7</f>
        <v>0.2115167786062948</v>
      </c>
      <c r="K7" s="9">
        <f>Assumptions!B7</f>
        <v>0.2115167786062948</v>
      </c>
    </row>
    <row r="8" spans="1:11" x14ac:dyDescent="0.25">
      <c r="A8" t="s">
        <v>51</v>
      </c>
      <c r="B8" s="18">
        <f>B6*B7</f>
        <v>1730736136.1285577</v>
      </c>
      <c r="C8" s="18">
        <f>C6*C7</f>
        <v>1834106268.3327835</v>
      </c>
      <c r="D8" s="18">
        <f>D6*D7</f>
        <v>1935688874.758269</v>
      </c>
      <c r="E8" s="18">
        <f>E6*E7</f>
        <v>2034495301.3254466</v>
      </c>
      <c r="F8" s="18">
        <f>F6*F7</f>
        <v>2129513997.714978</v>
      </c>
      <c r="G8" s="18">
        <f>G6*G7</f>
        <v>2219726713.466952</v>
      </c>
      <c r="H8" s="18">
        <f>H6*H7</f>
        <v>2304125806.828668</v>
      </c>
      <c r="I8" s="18">
        <f>I6*I7</f>
        <v>2381732282.009469</v>
      </c>
      <c r="J8" s="18">
        <f>J6*J7</f>
        <v>2451614125.412953</v>
      </c>
      <c r="K8" s="18">
        <f>K6*K7</f>
        <v>2512904478.5482764</v>
      </c>
    </row>
    <row r="9" spans="1:11" x14ac:dyDescent="0.25">
      <c r="A9" t="s">
        <v>52</v>
      </c>
      <c r="B9" s="18">
        <f>B8*(1-Assumptions!B8)</f>
        <v>1367281547.5415606</v>
      </c>
      <c r="C9" s="18">
        <f>C8*(1-Assumptions!B8)</f>
        <v>1448943951.982899</v>
      </c>
      <c r="D9" s="18">
        <f>D8*(1-Assumptions!B8)</f>
        <v>1529194211.0590327</v>
      </c>
      <c r="E9" s="18">
        <f>E8*(1-Assumptions!B8)</f>
        <v>1607251288.047103</v>
      </c>
      <c r="F9" s="18">
        <f>F8*(1-Assumptions!B8)</f>
        <v>1682316058.1948326</v>
      </c>
      <c r="G9" s="18">
        <f>G8*(1-Assumptions!B8)</f>
        <v>1753584103.638892</v>
      </c>
      <c r="H9" s="18">
        <f>H8*(1-Assumptions!B8)</f>
        <v>1820259387.3946478</v>
      </c>
      <c r="I9" s="18">
        <f>I8*(1-Assumptions!B8)</f>
        <v>1881568502.7874806</v>
      </c>
      <c r="J9" s="18">
        <f>J8*(1-Assumptions!B8)</f>
        <v>1936775159.076233</v>
      </c>
      <c r="K9" s="18">
        <f>K8*(1-Assumptions!B8)</f>
        <v>1985194538.0531385</v>
      </c>
    </row>
    <row r="10" spans="1:11" x14ac:dyDescent="0.25">
      <c r="A10" t="s">
        <v>53</v>
      </c>
      <c r="B10" s="18">
        <f>B6*Assumptions!B9</f>
        <v>297679771.17434984</v>
      </c>
      <c r="C10" s="18">
        <f>C6*Assumptions!B9</f>
        <v>315459025.13367814</v>
      </c>
      <c r="D10" s="18">
        <f>D6*Assumptions!B9</f>
        <v>332930831.727879</v>
      </c>
      <c r="E10" s="18">
        <f>E6*Assumptions!B9</f>
        <v>349925146.3649242</v>
      </c>
      <c r="F10" s="18">
        <f>F6*Assumptions!B9</f>
        <v>366267986.3900889</v>
      </c>
      <c r="G10" s="18">
        <f>G6*Assumptions!B9</f>
        <v>381784216.75096554</v>
      </c>
      <c r="H10" s="18">
        <f>H6*Assumptions!B9</f>
        <v>396300527.0508344</v>
      </c>
      <c r="I10" s="18">
        <f>I6*Assumptions!B9</f>
        <v>409648533.88516605</v>
      </c>
      <c r="J10" s="18">
        <f>J6*Assumptions!B9</f>
        <v>421667934.60105056</v>
      </c>
      <c r="K10" s="18">
        <f>K6*Assumptions!B9</f>
        <v>432209632.96607685</v>
      </c>
    </row>
    <row r="11" spans="1:11" x14ac:dyDescent="0.25">
      <c r="A11" t="s">
        <v>54</v>
      </c>
      <c r="B11" s="18">
        <f>-B6*B19</f>
        <v>-238214345.95431444</v>
      </c>
      <c r="C11" s="18">
        <f>-C6*C19</f>
        <v>-267513289.10352674</v>
      </c>
      <c r="D11" s="18">
        <f>-D6*D19</f>
        <v>-298235662.8371576</v>
      </c>
      <c r="E11" s="18">
        <f>-E6*E19</f>
        <v>-330176953.420301</v>
      </c>
      <c r="F11" s="18">
        <f>-F6*F19</f>
        <v>-363096247.04808235</v>
      </c>
      <c r="G11" s="18">
        <f>-G6*G19</f>
        <v>-396718183.7536986</v>
      </c>
      <c r="H11" s="18">
        <f>-H6*H19</f>
        <v>-430735917.86027545</v>
      </c>
      <c r="I11" s="18">
        <f>-I6*I19</f>
        <v>-464815073.9752681</v>
      </c>
      <c r="J11" s="18">
        <f>-J6*J19</f>
        <v>-498598653.09043133</v>
      </c>
      <c r="K11" s="18">
        <f>-K6*K19</f>
        <v>-531712808.1657343</v>
      </c>
    </row>
    <row r="12" spans="1:11" x14ac:dyDescent="0.25">
      <c r="A12" t="s">
        <v>55</v>
      </c>
      <c r="B12" s="18">
        <f>-(B6-Assumptions!B29)*Assumptions!B11</f>
        <v>-160109548.61197633</v>
      </c>
      <c r="C12" s="18">
        <f>-(C6-B6)*Assumptions!B11</f>
        <v>-62224201.49563802</v>
      </c>
      <c r="D12" s="18">
        <f>-(D6-C6)*Assumptions!B11</f>
        <v>-61148190.83508047</v>
      </c>
      <c r="E12" s="18">
        <f>-(E6-D6)*Assumptions!B11</f>
        <v>-59477054.5870375</v>
      </c>
      <c r="F12" s="18">
        <f>-(F6-E6)*Assumptions!B11</f>
        <v>-57197010.23806317</v>
      </c>
      <c r="G12" s="18">
        <f>-(G6-F6)*Assumptions!B11</f>
        <v>-54304024.602863535</v>
      </c>
      <c r="H12" s="18">
        <f>-(H6-G6)*Assumptions!B11</f>
        <v>-50804483.64923252</v>
      </c>
      <c r="I12" s="18">
        <f>-(I6-H6)*Assumptions!B11</f>
        <v>-46715630.9665527</v>
      </c>
      <c r="J12" s="18">
        <f>-(J6-I6)*Assumptions!B11</f>
        <v>-42065747.73682294</v>
      </c>
      <c r="K12" s="18">
        <f>-(K6-J6)*Assumptions!B11</f>
        <v>-36894054.4227657</v>
      </c>
    </row>
    <row r="13" spans="1:11" x14ac:dyDescent="0.25">
      <c r="A13" s="19" t="s">
        <v>56</v>
      </c>
      <c r="B13" s="20">
        <f>B9+B10+B11+B12</f>
        <v>1266637424.1496196</v>
      </c>
      <c r="C13" s="20">
        <f>C9+C10+C11+C12</f>
        <v>1434665486.5174122</v>
      </c>
      <c r="D13" s="20">
        <f>D9+D10+D11+D12</f>
        <v>1502741189.1146739</v>
      </c>
      <c r="E13" s="20">
        <f>E9+E10+E11+E12</f>
        <v>1567522426.4046886</v>
      </c>
      <c r="F13" s="20">
        <f>F9+F10+F11+F12</f>
        <v>1628290787.298776</v>
      </c>
      <c r="G13" s="20">
        <f>G9+G10+G11+G12</f>
        <v>1684346112.0332954</v>
      </c>
      <c r="H13" s="20">
        <f>H9+H10+H11+H12</f>
        <v>1735019512.9359741</v>
      </c>
      <c r="I13" s="20">
        <f>I9+I10+I11+I12</f>
        <v>1779686331.7308257</v>
      </c>
      <c r="J13" s="20">
        <f>J9+J10+J11+J12</f>
        <v>1817778692.8500292</v>
      </c>
      <c r="K13" s="20">
        <f>K9+K10+K11+K12</f>
        <v>1848797308.4307156</v>
      </c>
    </row>
    <row r="14" spans="1:11" x14ac:dyDescent="0.25">
      <c r="A14" t="s">
        <v>57</v>
      </c>
      <c r="B14" s="21">
        <f>1/(1+Assumptions!$B$26)^(1-0.5*Assumptions!$B$32)</f>
        <v>0.9534912116954859</v>
      </c>
      <c r="C14" s="21">
        <f>1/(1+Assumptions!$B$26)^(2-0.5*Assumptions!$B$32)</f>
        <v>0.8668622356118106</v>
      </c>
      <c r="D14" s="21">
        <f>1/(1+Assumptions!$B$26)^(3-0.5*Assumptions!$B$32)</f>
        <v>0.7881038926344034</v>
      </c>
      <c r="E14" s="21">
        <f>1/(1+Assumptions!$B$26)^(4-0.5*Assumptions!$B$32)</f>
        <v>0.7165011002551475</v>
      </c>
      <c r="F14" s="21">
        <f>1/(1+Assumptions!$B$26)^(5-0.5*Assumptions!$B$32)</f>
        <v>0.6514037444362527</v>
      </c>
      <c r="G14" s="21">
        <f>1/(1+Assumptions!$B$26)^(6-0.5*Assumptions!$B$32)</f>
        <v>0.5922207769317691</v>
      </c>
      <c r="H14" s="21">
        <f>1/(1+Assumptions!$B$26)^(7-0.5*Assumptions!$B$32)</f>
        <v>0.5384148488940574</v>
      </c>
      <c r="I14" s="21">
        <f>1/(1+Assumptions!$B$26)^(8-0.5*Assumptions!$B$32)</f>
        <v>0.4894974320413105</v>
      </c>
      <c r="J14" s="21">
        <f>1/(1+Assumptions!$B$26)^(9-0.5*Assumptions!$B$32)</f>
        <v>0.44502438308900427</v>
      </c>
      <c r="K14" s="21">
        <f>1/(1+Assumptions!$B$26)^(10-0.5*Assumptions!$B$32)</f>
        <v>0.40459191117275356</v>
      </c>
    </row>
    <row r="15" spans="1:11" x14ac:dyDescent="0.25">
      <c r="A15" s="19" t="s">
        <v>58</v>
      </c>
      <c r="B15" s="20">
        <f>B13*B14</f>
        <v>1207727652.33127</v>
      </c>
      <c r="C15" s="20">
        <f>C13*C14</f>
        <v>1243657330.9975898</v>
      </c>
      <c r="D15" s="20">
        <f>D13*D14</f>
        <v>1184316180.7633266</v>
      </c>
      <c r="E15" s="20">
        <f>E13*E14</f>
        <v>1123131543.1935778</v>
      </c>
      <c r="F15" s="20">
        <f>F13*F14</f>
        <v>1060674715.8774766</v>
      </c>
      <c r="G15" s="20">
        <f>G13*G14</f>
        <v>997504763.0903628</v>
      </c>
      <c r="H15" s="20">
        <f>H13*H14</f>
        <v>934160268.8856636</v>
      </c>
      <c r="I15" s="20">
        <f>I13*I14</f>
        <v>871151889.221259</v>
      </c>
      <c r="J15" s="20">
        <f>J13*J14</f>
        <v>808955841.3779209</v>
      </c>
      <c r="K15" s="20">
        <f>K13*K14</f>
        <v>748008436.3890259</v>
      </c>
    </row>
    <row r="17" spans="1:2" x14ac:dyDescent="0.25">
      <c r="A17" s="22" t="s">
        <v>59</v>
      </c>
      <c r="B17" s="23">
        <f>SUM(B15:K15)</f>
        <v>10179288622.127474</v>
      </c>
    </row>
    <row r="19" spans="1:11" x14ac:dyDescent="0.25">
      <c r="A19" t="s">
        <v>7</v>
      </c>
      <c r="B19" s="9">
        <f>Assumptions!$B$10+($B$20-Assumptions!$B$10)*0/9</f>
        <v>0.02911265907163066</v>
      </c>
      <c r="C19" s="9">
        <f>Assumptions!$B$10+($B$20-Assumptions!$B$10)*1/9</f>
        <v>0.030850747376261506</v>
      </c>
      <c r="D19" s="9">
        <f>Assumptions!$B$10+($B$20-Assumptions!$B$10)*2/9</f>
        <v>0.03258883568089235</v>
      </c>
      <c r="E19" s="9">
        <f>Assumptions!$B$10+($B$20-Assumptions!$B$10)*3/9</f>
        <v>0.0343269239855232</v>
      </c>
      <c r="F19" s="9">
        <f>Assumptions!$B$10+($B$20-Assumptions!$B$10)*4/9</f>
        <v>0.03606501229015405</v>
      </c>
      <c r="G19" s="9">
        <f>Assumptions!$B$10+($B$20-Assumptions!$B$10)*5/9</f>
        <v>0.037803100594784894</v>
      </c>
      <c r="H19" s="9">
        <f>Assumptions!$B$10+($B$20-Assumptions!$B$10)*6/9</f>
        <v>0.03954118889941574</v>
      </c>
      <c r="I19" s="9">
        <f>Assumptions!$B$10+($B$20-Assumptions!$B$10)*7/9</f>
        <v>0.04127927720404659</v>
      </c>
      <c r="J19" s="9">
        <f>Assumptions!$B$10+($B$20-Assumptions!$B$10)*8/9</f>
        <v>0.043017365508677435</v>
      </c>
      <c r="K19" s="9">
        <f>Assumptions!$B$10+($B$20-Assumptions!$B$10)*9/9</f>
        <v>0.04475545381330828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0.04475545381330828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1848797308.4307156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2055138075.2068758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0.09149716043295208</v>
      </c>
    </row>
    <row r="7" spans="1:2" x14ac:dyDescent="0.25">
      <c r="A7" t="s">
        <v>66</v>
      </c>
      <c r="B7" s="18">
        <f>-MAX(B5,0)*B6</f>
        <v>-188039298.17907187</v>
      </c>
    </row>
    <row r="8" spans="1:2" x14ac:dyDescent="0.25">
      <c r="A8" t="s">
        <v>67</v>
      </c>
      <c r="B8" s="18">
        <f>IF(OR(Assumptions!$B$33=0,Assumptions!B12&lt;=0),B5,MAX(B5+B7,0))</f>
        <v>1867098777.027804</v>
      </c>
    </row>
    <row r="9" spans="1:2" x14ac:dyDescent="0.25">
      <c r="A9" t="s">
        <v>68</v>
      </c>
      <c r="B9" s="18">
        <f>B8*(1+Assumptions!B12)/(Assumptions!B26-Assumptions!B12)</f>
        <v>25539504963.75366</v>
      </c>
    </row>
    <row r="10" spans="1:2" x14ac:dyDescent="0.25">
      <c r="A10" t="s">
        <v>69</v>
      </c>
      <c r="B10" s="18">
        <f>B9/(1+Assumptions!B26)^(10-0.5*Assumptions!B32)</f>
        <v>10333077123.691118</v>
      </c>
    </row>
    <row r="11" spans="1:2" x14ac:dyDescent="0.25">
      <c r="A11" t="s">
        <v>70</v>
      </c>
      <c r="B11" s="18">
        <f>Forecast!B17+B10</f>
        <v>20512365745.818592</v>
      </c>
    </row>
    <row r="12" spans="1:2" x14ac:dyDescent="0.25">
      <c r="A12" t="s">
        <v>71</v>
      </c>
      <c r="B12" s="18">
        <f>-Assumptions!B30</f>
        <v>851000000</v>
      </c>
    </row>
    <row r="13" spans="1:2" x14ac:dyDescent="0.25">
      <c r="A13" t="s">
        <v>72</v>
      </c>
      <c r="B13" s="18">
        <f>B11+B12</f>
        <v>21363365745.818592</v>
      </c>
    </row>
    <row r="14" spans="1:2" x14ac:dyDescent="0.25">
      <c r="A14" s="19" t="s">
        <v>73</v>
      </c>
      <c r="B14" s="24">
        <f>B13/Assumptions!B31</f>
        <v>106.28540172049051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2945114111.5143533</v>
      </c>
    </row>
    <row r="18" spans="1:2" x14ac:dyDescent="0.25">
      <c r="A18" t="s">
        <v>68</v>
      </c>
      <c r="B18" s="18">
        <f>B17*Assumptions!B13</f>
        <v>58902282230.28706</v>
      </c>
    </row>
    <row r="19" spans="1:2" x14ac:dyDescent="0.25">
      <c r="A19" t="s">
        <v>69</v>
      </c>
      <c r="B19" s="18">
        <f>B18/(1+Assumptions!B26)^(10-0.5*Assumptions!B32)</f>
        <v>23831386939.988766</v>
      </c>
    </row>
    <row r="20" spans="1:2" x14ac:dyDescent="0.25">
      <c r="A20" t="s">
        <v>70</v>
      </c>
      <c r="B20" s="18">
        <f>Forecast!B17+B19</f>
        <v>34010675562.11624</v>
      </c>
    </row>
    <row r="21" spans="1:2" x14ac:dyDescent="0.25">
      <c r="A21" t="s">
        <v>71</v>
      </c>
      <c r="B21" s="18">
        <f>-Assumptions!B30</f>
        <v>851000000</v>
      </c>
    </row>
    <row r="22" spans="1:2" x14ac:dyDescent="0.25">
      <c r="A22" t="s">
        <v>72</v>
      </c>
      <c r="B22" s="18">
        <f>B20+B21</f>
        <v>34861675562.11624</v>
      </c>
    </row>
    <row r="23" spans="1:2" x14ac:dyDescent="0.25">
      <c r="A23" s="19" t="s">
        <v>73</v>
      </c>
      <c r="B23" s="25">
        <f>B22/Assumptions!B31</f>
        <v>173.44117195082708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199.18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106.28540172049051</v>
      </c>
    </row>
    <row r="29" spans="1:2" x14ac:dyDescent="0.25">
      <c r="A29" s="19" t="s">
        <v>81</v>
      </c>
      <c r="B29" s="11">
        <f>B28/B26-1</f>
        <v>-0.46638517059699514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0.079934</v>
      </c>
      <c r="B5" s="31">
        <v>133.12158875928253</v>
      </c>
      <c r="C5" s="31">
        <v>137.53560662678794</v>
      </c>
      <c r="D5" s="31">
        <v>142.82955450388692</v>
      </c>
      <c r="E5" s="31">
        <v>149.2677603063063</v>
      </c>
      <c r="F5" s="31">
        <v>157.23220357915235</v>
      </c>
    </row>
    <row r="6" spans="1:6" x14ac:dyDescent="0.25">
      <c r="A6" s="30">
        <v>0.089934</v>
      </c>
      <c r="B6" s="31">
        <v>115.75533753354244</v>
      </c>
      <c r="C6" s="31">
        <v>118.50567800797955</v>
      </c>
      <c r="D6" s="31">
        <v>121.74074901931435</v>
      </c>
      <c r="E6" s="31">
        <v>125.58186664946138</v>
      </c>
      <c r="F6" s="31">
        <v>130.19451492074168</v>
      </c>
    </row>
    <row r="7" spans="1:6" x14ac:dyDescent="0.25">
      <c r="A7" s="30">
        <v>0.099934</v>
      </c>
      <c r="B7" s="31">
        <v>102.50315595891755</v>
      </c>
      <c r="C7" s="31">
        <v>104.25243162403855</v>
      </c>
      <c r="D7" s="32">
        <v>106.28534831952345</v>
      </c>
      <c r="E7" s="31">
        <v>108.66274362731326</v>
      </c>
      <c r="F7" s="31">
        <v>111.46419341189457</v>
      </c>
    </row>
    <row r="8" spans="1:6" x14ac:dyDescent="0.25">
      <c r="A8" s="30">
        <v>0.109934</v>
      </c>
      <c r="B8" s="31">
        <v>92.06331780510587</v>
      </c>
      <c r="C8" s="31">
        <v>93.18146056584011</v>
      </c>
      <c r="D8" s="31">
        <v>94.47322811537222</v>
      </c>
      <c r="E8" s="31">
        <v>95.97120198136211</v>
      </c>
      <c r="F8" s="31">
        <v>97.7166597513783</v>
      </c>
    </row>
    <row r="9" spans="1:6" x14ac:dyDescent="0.25">
      <c r="A9" s="30">
        <v>0.119934</v>
      </c>
      <c r="B9" s="31">
        <v>83.63043124550012</v>
      </c>
      <c r="C9" s="31">
        <v>84.33661938454931</v>
      </c>
      <c r="D9" s="31">
        <v>85.1528178872082</v>
      </c>
      <c r="E9" s="31">
        <v>86.09737526965698</v>
      </c>
      <c r="F9" s="31">
        <v>87.19296070086034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6925000000</v>
      </c>
      <c r="C5" s="18">
        <v>6572000000</v>
      </c>
      <c r="D5" s="18">
        <v>6268000000</v>
      </c>
      <c r="E5" s="18">
        <v>6362000000</v>
      </c>
      <c r="F5" s="6" t="s">
        <v>91</v>
      </c>
    </row>
    <row r="6" spans="1:6" x14ac:dyDescent="0.25">
      <c r="A6" t="s">
        <v>51</v>
      </c>
      <c r="B6" s="18">
        <v>1695000000</v>
      </c>
      <c r="C6" s="18">
        <v>1425000000</v>
      </c>
      <c r="D6" s="18">
        <v>1268000000</v>
      </c>
      <c r="E6" s="18">
        <v>1159000000</v>
      </c>
      <c r="F6" s="6" t="s">
        <v>92</v>
      </c>
    </row>
    <row r="7" spans="1:6" x14ac:dyDescent="0.25">
      <c r="A7" t="s">
        <v>93</v>
      </c>
      <c r="B7" s="18">
        <v>200000000</v>
      </c>
      <c r="C7" s="18">
        <v>243000000</v>
      </c>
      <c r="D7" s="18">
        <v>255000000</v>
      </c>
      <c r="E7" s="18">
        <v>248000000</v>
      </c>
      <c r="F7" s="6" t="s">
        <v>94</v>
      </c>
    </row>
    <row r="8" spans="1:6" x14ac:dyDescent="0.25">
      <c r="A8" t="s">
        <v>95</v>
      </c>
      <c r="B8" s="18">
        <v>198000000</v>
      </c>
      <c r="C8" s="18">
        <v>168000000</v>
      </c>
      <c r="D8" s="18">
        <v>155000000</v>
      </c>
      <c r="E8" s="18">
        <v>239000000</v>
      </c>
      <c r="F8" s="6" t="s">
        <v>96</v>
      </c>
    </row>
    <row r="9" spans="1:6" x14ac:dyDescent="0.25">
      <c r="A9" t="s">
        <v>97</v>
      </c>
      <c r="B9" s="18">
        <v>23000000</v>
      </c>
      <c r="C9" s="18">
        <v>250000000</v>
      </c>
      <c r="D9" s="18">
        <v>-2000000</v>
      </c>
      <c r="E9" s="18">
        <v>106000000</v>
      </c>
      <c r="F9" s="6" t="s">
        <v>98</v>
      </c>
    </row>
    <row r="10" spans="1:6" x14ac:dyDescent="0.25">
      <c r="A10" t="s">
        <v>99</v>
      </c>
      <c r="B10" s="18">
        <v>2733000000</v>
      </c>
      <c r="C10" s="18">
        <v>3491000000</v>
      </c>
      <c r="D10" s="18">
        <v>2652000000</v>
      </c>
      <c r="E10" s="18">
        <v>2684000000</v>
      </c>
      <c r="F10" s="6" t="s">
        <v>100</v>
      </c>
    </row>
    <row r="11" spans="1:6" x14ac:dyDescent="0.25">
      <c r="A11" t="s">
        <v>101</v>
      </c>
      <c r="B11" s="18">
        <v>3584000000</v>
      </c>
      <c r="C11" s="18">
        <v>3846000000</v>
      </c>
      <c r="D11" s="18">
        <v>3252000000</v>
      </c>
      <c r="E11" s="18">
        <v>3070000000</v>
      </c>
      <c r="F11" s="6" t="s">
        <v>102</v>
      </c>
    </row>
    <row r="12" spans="1:6" x14ac:dyDescent="0.25">
      <c r="A12" t="s">
        <v>34</v>
      </c>
      <c r="B12" s="34">
        <v>201000000</v>
      </c>
      <c r="C12" s="34">
        <v>209000000</v>
      </c>
      <c r="D12" s="34">
        <v>213000000</v>
      </c>
      <c r="E12" s="34">
        <v>220000000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