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<sst xmlns="http://schemas.openxmlformats.org/spreadsheetml/2006/main" count="121" uniqueCount="108">
  <si>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Naturgy Energy Group, S.A. (NTGY.MC)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</si>
  <si>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</si>
  <si>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</si>
  <si>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</si>
  <si>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</si>
  <si>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</si>
  <si>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</si>
  <si>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</si>
  <si>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</si>
  <si>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</si>
  <si>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</si>
  <si>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</si>
  <si>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</si>
  <si>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</si>
  <si>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</si>
  <si>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</si>
  <si>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</si>
  <si>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</si>
  <si>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</si>
  <si>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</si>
  <si>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</si>
  <si>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</si>
  <si>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</si>
  <si>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</si>
  <si>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Risk-free + 78bp, the spread for a A rating at 5.3x interest cover. Book interest / average debt was lower, at 4.2%.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</si>
  <si>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</si>
  <si>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</si>
  <si>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</si>
  <si>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</si>
  <si>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</si>
  <si>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</si>
  <si>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</si>
  <si>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</si>
  <si>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</si>
  <si>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</si>
  <si>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</si>
  <si>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</si>
  <si>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</si>
  <si>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</si>
  <si>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</si>
  <si>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</si>
  <si>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</si>
  <si>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</si>
  <si>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</si>
  <si>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</si>
  <si>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</si>
  <si>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</si>
  <si>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</si>
  <si>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</si>
  <si>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</si>
  <si>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</si>
  <si>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</si>
  <si>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</si>
  <si>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</si>
  <si>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</si>
  <si>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</si>
  <si>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</si>
  <si>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</si>
  <si>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</si>
  <si>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</si>
  <si>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</si>
  <si>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(EUR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</si>
  <si>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</si>
  <si>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</si>
  <si>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</si>
  <si>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</si>
  <si>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</si>
  <si>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</si>
  <si>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</si>
  <si>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</si>
  <si>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</si>
  <si>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</si>
  <si>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</si>
  <si>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</si>
  <si>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</si>
  <si>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</si>
  <si>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</si>
  <si>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</si>
  <si>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</si>
  <si>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</si>
  <si>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</si>
  <si>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</si>
  <si>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</si>
  <si>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</si>
  <si>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</si>
  <si>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</si>
  <si>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</si>
  <si>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</si>
  <si>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</si>
  <si>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</si>
  <si>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</si>
  <si>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</si>
  <si>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</si>
  <si>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</si>
  <si>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</si>
  <si>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</si>
  <si>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</si>
  <si>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</si>
  <si>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</si>
  <si>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</si>
  <si>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</si>
  <si>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</si>
  <si>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</si>
  <si>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</si>
  <si>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</si>
  <si>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9.5% of revenue against depreciation of 6.7%.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</si>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</sst>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0.05870413723978407</v>
      </c>
    </row>
    <row r="7" spans="1:2" x14ac:dyDescent="0.25">
      <c r="A7" t="s">
        <v>4</v>
      </c>
      <c r="B7" s="5">
        <v>0.17033694885019096</v>
      </c>
    </row>
    <row r="8" spans="1:2" x14ac:dyDescent="0.25">
      <c r="A8" t="s">
        <v>5</v>
      </c>
      <c r="B8" s="5">
        <v>0.25</v>
      </c>
    </row>
    <row r="9" spans="1:2" x14ac:dyDescent="0.25">
      <c r="A9" t="s">
        <v>6</v>
      </c>
      <c r="B9" s="5">
        <v>0.06684036021994673</v>
      </c>
    </row>
    <row r="10" spans="1:3" x14ac:dyDescent="0.25">
      <c r="A10" t="s">
        <v>7</v>
      </c>
      <c r="B10" s="5">
        <v>0.09533349993684805</v>
      </c>
      <c r="C10" s="6" t="s">
        <v>8</v>
      </c>
    </row>
    <row r="11" spans="1:2" x14ac:dyDescent="0.25">
      <c r="A11" t="s">
        <v>9</v>
      </c>
      <c r="B11" s="5">
        <v>0.044389873568041735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7.325468968171725</v>
      </c>
    </row>
    <row r="14" spans="1:3" x14ac:dyDescent="0.25">
      <c r="A14" t="s">
        <v>12</v>
      </c>
      <c r="B14" s="5">
        <v>0.11765271522154418</v>
      </c>
      <c r="C14" s="6" t="s">
        <v>13</v>
      </c>
    </row>
    <row r="15" spans="1:3" x14ac:dyDescent="0.25">
      <c r="A15" t="s">
        <v>14</v>
      </c>
      <c r="B15" s="5">
        <v>0.052781770350171765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0.042</v>
      </c>
      <c r="C17" s="6" t="s">
        <v>18</v>
      </c>
    </row>
    <row r="18" spans="1:2" x14ac:dyDescent="0.25">
      <c r="A18" t="s">
        <v>19</v>
      </c>
      <c r="B18" s="5">
        <v>0.065</v>
      </c>
    </row>
    <row r="19" spans="1:3" x14ac:dyDescent="0.25">
      <c r="A19" t="s">
        <v>20</v>
      </c>
      <c r="B19" s="8">
        <v>0.6382</v>
      </c>
      <c r="C19" s="6" t="s">
        <v>21</v>
      </c>
    </row>
    <row r="20" spans="1:2" x14ac:dyDescent="0.25">
      <c r="A20" t="s">
        <v>22</v>
      </c>
      <c r="B20" s="9">
        <f>B17+B19*B18</f>
        <v>0.083483</v>
      </c>
    </row>
    <row r="21" spans="1:3" x14ac:dyDescent="0.25">
      <c r="A21" t="s">
        <v>23</v>
      </c>
      <c r="B21" s="5">
        <v>0.049800000000000004</v>
      </c>
      <c r="C21" s="6" t="s">
        <v>24</v>
      </c>
    </row>
    <row r="22" spans="1:2" x14ac:dyDescent="0.25">
      <c r="A22" t="s">
        <v>25</v>
      </c>
      <c r="B22" s="10">
        <v>27476834304</v>
      </c>
    </row>
    <row r="23" spans="1:2" x14ac:dyDescent="0.25">
      <c r="A23" t="s">
        <v>26</v>
      </c>
      <c r="B23" s="10">
        <v>16747000000</v>
      </c>
    </row>
    <row r="24" spans="1:2" x14ac:dyDescent="0.25">
      <c r="A24" t="s">
        <v>27</v>
      </c>
      <c r="B24" s="9">
        <f>B22/(B22+B23)</f>
        <v>0.6213127996799398</v>
      </c>
    </row>
    <row r="25" spans="1:2" x14ac:dyDescent="0.25">
      <c r="A25" t="s">
        <v>28</v>
      </c>
      <c r="B25" s="9">
        <f>1-B24</f>
        <v>0.3786872003200602</v>
      </c>
    </row>
    <row r="26" spans="1:2" x14ac:dyDescent="0.25">
      <c r="A26" t="s">
        <v>29</v>
      </c>
      <c r="B26" s="11">
        <f>B24*B20+B25*B21*(1-B8)</f>
        <v>0.06601302338763466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19455000000</v>
      </c>
      <c r="C29" s="6" t="s">
        <v>32</v>
      </c>
    </row>
    <row r="30" spans="1:2" x14ac:dyDescent="0.25">
      <c r="A30" t="s">
        <v>33</v>
      </c>
      <c r="B30" s="10">
        <v>12110000000</v>
      </c>
    </row>
    <row r="31" spans="1:2" x14ac:dyDescent="0.25">
      <c r="A31" t="s">
        <v>34</v>
      </c>
      <c r="B31" s="12">
        <v>930410592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0.05870413723978407</v>
      </c>
      <c r="C5" s="5">
        <v>-0.013681587244528393</v>
      </c>
      <c r="D5" s="5">
        <v>-0.008846388838962344</v>
      </c>
      <c r="E5" s="5">
        <v>-0.004011190433396294</v>
      </c>
      <c r="F5" s="5">
        <v>0.000824007972169756</v>
      </c>
      <c r="G5" s="5">
        <v>0.005659206377735804</v>
      </c>
      <c r="H5" s="5">
        <v>0.010494404783301853</v>
      </c>
      <c r="I5" s="5">
        <v>0.015329603188867905</v>
      </c>
      <c r="J5" s="5">
        <v>0.02016480159443395</v>
      </c>
      <c r="K5" s="5">
        <v>0.025</v>
      </c>
    </row>
    <row r="6" spans="1:11" x14ac:dyDescent="0.25">
      <c r="A6" t="s">
        <v>50</v>
      </c>
      <c r="B6" s="18">
        <f>Assumptions!B29*(1+B5)</f>
        <v>20597088990</v>
      </c>
      <c r="C6" s="18">
        <f>B6*(1+C5)</f>
        <v>20315288120</v>
      </c>
      <c r="D6" s="18">
        <f>C6*(1+D5)</f>
        <v>20135571181.91493</v>
      </c>
      <c r="E6" s="18">
        <f>D6*(1+E5)</f>
        <v>20054803571.419064</v>
      </c>
      <c r="F6" s="18">
        <f>E6*(1+F5)</f>
        <v>20071328889.44221</v>
      </c>
      <c r="G6" s="18">
        <f>F6*(1+G5)</f>
        <v>20184916681.902977</v>
      </c>
      <c r="H6" s="18">
        <f>G6*(1+H5)</f>
        <v>20396745368.080086</v>
      </c>
      <c r="I6" s="18">
        <f>H6*(1+I5)</f>
        <v>20709419380.917133</v>
      </c>
      <c r="J6" s="18">
        <f>I6*(1+J5)</f>
        <v>21127020713.869255</v>
      </c>
      <c r="K6" s="18">
        <f>J6*(1+K5)</f>
        <v>21655196231.715984</v>
      </c>
    </row>
    <row r="7" spans="1:11" x14ac:dyDescent="0.25">
      <c r="A7" t="s">
        <v>4</v>
      </c>
      <c r="B7" s="9">
        <f>Assumptions!B7</f>
        <v>0.17033694885019096</v>
      </c>
      <c r="C7" s="9">
        <f>Assumptions!B7</f>
        <v>0.17033694885019096</v>
      </c>
      <c r="D7" s="9">
        <f>Assumptions!B7</f>
        <v>0.17033694885019096</v>
      </c>
      <c r="E7" s="9">
        <f>Assumptions!B7</f>
        <v>0.17033694885019096</v>
      </c>
      <c r="F7" s="9">
        <f>Assumptions!B7</f>
        <v>0.17033694885019096</v>
      </c>
      <c r="G7" s="9">
        <f>Assumptions!B7</f>
        <v>0.17033694885019096</v>
      </c>
      <c r="H7" s="9">
        <f>Assumptions!B7</f>
        <v>0.17033694885019096</v>
      </c>
      <c r="I7" s="9">
        <f>Assumptions!B7</f>
        <v>0.17033694885019096</v>
      </c>
      <c r="J7" s="9">
        <f>Assumptions!B7</f>
        <v>0.17033694885019096</v>
      </c>
      <c r="K7" s="9">
        <f>Assumptions!B7</f>
        <v>0.17033694885019096</v>
      </c>
    </row>
    <row r="8" spans="1:11" x14ac:dyDescent="0.25">
      <c r="A8" t="s">
        <v>51</v>
      </c>
      <c r="B8" s="18">
        <f>B6*B7</f>
        <v>3508445293.7524614</v>
      </c>
      <c r="C8" s="18">
        <f>C6*C7</f>
        <v>3460444193.373332</v>
      </c>
      <c r="D8" s="18">
        <f>D6*D7</f>
        <v>3429831758.4832225</v>
      </c>
      <c r="E8" s="18">
        <f>E6*E7</f>
        <v>3416074050.145436</v>
      </c>
      <c r="F8" s="18">
        <f>F6*F7</f>
        <v>3418888922.396278</v>
      </c>
      <c r="G8" s="18">
        <f>G6*G7</f>
        <v>3438237120.3906736</v>
      </c>
      <c r="H8" s="18">
        <f>H6*H7</f>
        <v>3474319372.4730268</v>
      </c>
      <c r="I8" s="18">
        <f>I6*I7</f>
        <v>3527579309.8044353</v>
      </c>
      <c r="J8" s="18">
        <f>J6*J7</f>
        <v>3598712246.6952724</v>
      </c>
      <c r="K8" s="18">
        <f>K6*K7</f>
        <v>3688680052.8626537</v>
      </c>
    </row>
    <row r="9" spans="1:11" x14ac:dyDescent="0.25">
      <c r="A9" t="s">
        <v>52</v>
      </c>
      <c r="B9" s="18">
        <f>B8*(1-Assumptions!B8)</f>
        <v>2631333970.3143463</v>
      </c>
      <c r="C9" s="18">
        <f>C8*(1-Assumptions!B8)</f>
        <v>2595333145.029999</v>
      </c>
      <c r="D9" s="18">
        <f>D8*(1-Assumptions!B8)</f>
        <v>2572373818.8624167</v>
      </c>
      <c r="E9" s="18">
        <f>E8*(1-Assumptions!B8)</f>
        <v>2562055537.609077</v>
      </c>
      <c r="F9" s="18">
        <f>F8*(1-Assumptions!B8)</f>
        <v>2564166691.7972083</v>
      </c>
      <c r="G9" s="18">
        <f>G8*(1-Assumptions!B8)</f>
        <v>2578677840.293005</v>
      </c>
      <c r="H9" s="18">
        <f>H8*(1-Assumptions!B8)</f>
        <v>2605739529.35477</v>
      </c>
      <c r="I9" s="18">
        <f>I8*(1-Assumptions!B8)</f>
        <v>2645684482.3533263</v>
      </c>
      <c r="J9" s="18">
        <f>J8*(1-Assumptions!B8)</f>
        <v>2699034185.0214543</v>
      </c>
      <c r="K9" s="18">
        <f>K8*(1-Assumptions!B8)</f>
        <v>2766510039.6469903</v>
      </c>
    </row>
    <row r="10" spans="1:11" x14ac:dyDescent="0.25">
      <c r="A10" t="s">
        <v>53</v>
      </c>
      <c r="B10" s="18">
        <f>B6*Assumptions!B9</f>
        <v>1376716847.5738988</v>
      </c>
      <c r="C10" s="18">
        <f>C6*Assumptions!B9</f>
        <v>1357881175.9128044</v>
      </c>
      <c r="D10" s="18">
        <f>D6*Assumptions!B9</f>
        <v>1345868831.0335724</v>
      </c>
      <c r="E10" s="18">
        <f>E6*Assumptions!B9</f>
        <v>1340470294.8539243</v>
      </c>
      <c r="F10" s="18">
        <f>F6*Assumptions!B9</f>
        <v>1341574853.0633407</v>
      </c>
      <c r="G10" s="18">
        <f>G6*Assumptions!B9</f>
        <v>1349167102.0280068</v>
      </c>
      <c r="H10" s="18">
        <f>H6*Assumptions!B9</f>
        <v>1363325807.7170029</v>
      </c>
      <c r="I10" s="18">
        <f>I6*Assumptions!B9</f>
        <v>1384225051.3664474</v>
      </c>
      <c r="J10" s="18">
        <f>J6*Assumptions!B9</f>
        <v>1412137674.889297</v>
      </c>
      <c r="K10" s="18">
        <f>K6*Assumptions!B9</f>
        <v>1447441116.7615294</v>
      </c>
    </row>
    <row r="11" spans="1:11" x14ac:dyDescent="0.25">
      <c r="A11" t="s">
        <v>54</v>
      </c>
      <c r="B11" s="18">
        <f>-B6*B19</f>
        <v>-1963592581.9274185</v>
      </c>
      <c r="C11" s="18">
        <f>-C6*C19</f>
        <v>-1907010533.081629</v>
      </c>
      <c r="D11" s="18">
        <f>-D6*D19</f>
        <v>-1860686278.772498</v>
      </c>
      <c r="E11" s="18">
        <f>-E6*E19</f>
        <v>-1823886760.1526117</v>
      </c>
      <c r="F11" s="18">
        <f>-F6*F19</f>
        <v>-1796029532.7063844</v>
      </c>
      <c r="G11" s="18">
        <f>-G6*G19</f>
        <v>-1776667354.8107283</v>
      </c>
      <c r="H11" s="18">
        <f>-H6*H19</f>
        <v>-1765476280.784914</v>
      </c>
      <c r="I11" s="18">
        <f>-I6*I19</f>
        <v>-1762246815.0030189</v>
      </c>
      <c r="J11" s="18">
        <f>-J6*J19</f>
        <v>-1766877793.0303404</v>
      </c>
      <c r="K11" s="18">
        <f>-K6*K19</f>
        <v>-1779372749.01452</v>
      </c>
    </row>
    <row r="12" spans="1:11" x14ac:dyDescent="0.25">
      <c r="A12" t="s">
        <v>55</v>
      </c>
      <c r="B12" s="18">
        <f>-(B6-Assumptions!B29)*Assumptions!B11</f>
        <v>-50697185.86955248</v>
      </c>
      <c r="C12" s="18">
        <f>-(C6-B6)*Assumptions!B11</f>
        <v>12509104.990664165</v>
      </c>
      <c r="D12" s="18">
        <f>-(D6-C6)*Assumptions!B11</f>
        <v>7977612.159631912</v>
      </c>
      <c r="E12" s="18">
        <f>-(E6-D6)*Assumptions!B11</f>
        <v>3585264.0183042823</v>
      </c>
      <c r="F12" s="18">
        <f>-(F6-E6)*Assumptions!B11</f>
        <v>-733556.7777192026</v>
      </c>
      <c r="G12" s="18">
        <f>-(G6-F6)*Assumptions!B11</f>
        <v>-5042147.74620636</v>
      </c>
      <c r="H12" s="18">
        <f>-(H6-G6)*Assumptions!B11</f>
        <v>-9403048.597486248</v>
      </c>
      <c r="I12" s="18">
        <f>-(I6-H6)*Assumptions!B11</f>
        <v>-13879559.8978488</v>
      </c>
      <c r="J12" s="18">
        <f>-(J6-I6)*Assumptions!B11</f>
        <v>-18537270.371590383</v>
      </c>
      <c r="K12" s="18">
        <f>-(K6-J6)*Assumptions!B11</f>
        <v>-23445644.458951283</v>
      </c>
    </row>
    <row r="13" spans="1:11" x14ac:dyDescent="0.25">
      <c r="A13" s="19" t="s">
        <v>56</v>
      </c>
      <c r="B13" s="20">
        <f>B9+B10+B11+B12</f>
        <v>1993761050.0912743</v>
      </c>
      <c r="C13" s="20">
        <f>C9+C10+C11+C12</f>
        <v>2058712892.8518386</v>
      </c>
      <c r="D13" s="20">
        <f>D9+D10+D11+D12</f>
        <v>2065533983.2831235</v>
      </c>
      <c r="E13" s="20">
        <f>E9+E10+E11+E12</f>
        <v>2082224336.3286939</v>
      </c>
      <c r="F13" s="20">
        <f>F9+F10+F11+F12</f>
        <v>2108978455.3764453</v>
      </c>
      <c r="G13" s="20">
        <f>G9+G10+G11+G12</f>
        <v>2146135439.7640772</v>
      </c>
      <c r="H13" s="20">
        <f>H9+H10+H11+H12</f>
        <v>2194186007.689373</v>
      </c>
      <c r="I13" s="20">
        <f>I9+I10+I11+I12</f>
        <v>2253783158.8189063</v>
      </c>
      <c r="J13" s="20">
        <f>J9+J10+J11+J12</f>
        <v>2325756796.5088205</v>
      </c>
      <c r="K13" s="20">
        <f>K9+K10+K11+K12</f>
        <v>2411132762.9350486</v>
      </c>
    </row>
    <row r="14" spans="1:11" x14ac:dyDescent="0.25">
      <c r="A14" t="s">
        <v>57</v>
      </c>
      <c r="B14" s="21">
        <f>1/(1+Assumptions!$B$26)^(1-0.5*Assumptions!$B$32)</f>
        <v>0.9685426389281176</v>
      </c>
      <c r="C14" s="21">
        <f>1/(1+Assumptions!$B$26)^(2-0.5*Assumptions!$B$32)</f>
        <v>0.9085654843598719</v>
      </c>
      <c r="D14" s="21">
        <f>1/(1+Assumptions!$B$26)^(3-0.5*Assumptions!$B$32)</f>
        <v>0.8523024244793771</v>
      </c>
      <c r="E14" s="21">
        <f>1/(1+Assumptions!$B$26)^(4-0.5*Assumptions!$B$32)</f>
        <v>0.7995234633915482</v>
      </c>
      <c r="F14" s="21">
        <f>1/(1+Assumptions!$B$26)^(5-0.5*Assumptions!$B$32)</f>
        <v>0.7500128477331157</v>
      </c>
      <c r="G14" s="21">
        <f>1/(1+Assumptions!$B$26)^(6-0.5*Assumptions!$B$32)</f>
        <v>0.7035681847016125</v>
      </c>
      <c r="H14" s="21">
        <f>1/(1+Assumptions!$B$26)^(7-0.5*Assumptions!$B$32)</f>
        <v>0.6599996147005549</v>
      </c>
      <c r="I14" s="21">
        <f>1/(1+Assumptions!$B$26)^(8-0.5*Assumptions!$B$32)</f>
        <v>0.6191290352186993</v>
      </c>
      <c r="J14" s="21">
        <f>1/(1+Assumptions!$B$26)^(9-0.5*Assumptions!$B$32)</f>
        <v>0.5807893727706976</v>
      </c>
      <c r="K14" s="21">
        <f>1/(1+Assumptions!$B$26)^(10-0.5*Assumptions!$B$32)</f>
        <v>0.5448238999229421</v>
      </c>
    </row>
    <row r="15" spans="1:11" x14ac:dyDescent="0.25">
      <c r="A15" s="19" t="s">
        <v>58</v>
      </c>
      <c r="B15" s="20">
        <f>B13*B14</f>
        <v>1931042588.8474977</v>
      </c>
      <c r="C15" s="20">
        <f>C13*C14</f>
        <v>1870475476.6518438</v>
      </c>
      <c r="D15" s="20">
        <f>D13*D14</f>
        <v>1760459621.7967513</v>
      </c>
      <c r="E15" s="20">
        <f>E13*E14</f>
        <v>1664787212.9396853</v>
      </c>
      <c r="F15" s="20">
        <f>F13*F14</f>
        <v>1581760937.1246755</v>
      </c>
      <c r="G15" s="20">
        <f>G13*G14</f>
        <v>1509952615.4786086</v>
      </c>
      <c r="H15" s="20">
        <f>H13*H14</f>
        <v>1448161919.6563349</v>
      </c>
      <c r="I15" s="20">
        <f>I13*I14</f>
        <v>1395382592.711702</v>
      </c>
      <c r="J15" s="20">
        <f>J13*J14</f>
        <v>1350774831.061545</v>
      </c>
      <c r="K15" s="20">
        <f>K13*K14</f>
        <v>1313642755.1342518</v>
      </c>
    </row>
    <row r="17" spans="1:2" x14ac:dyDescent="0.25">
      <c r="A17" s="22" t="s">
        <v>59</v>
      </c>
      <c r="B17" s="23">
        <f>SUM(B15:K15)</f>
        <v>15826440551.402899</v>
      </c>
    </row>
    <row r="19" spans="1:11" x14ac:dyDescent="0.25">
      <c r="A19" t="s">
        <v>7</v>
      </c>
      <c r="B19" s="9">
        <f>Assumptions!$B$10+($B$20-Assumptions!$B$10)*0/9</f>
        <v>0.09533349993684805</v>
      </c>
      <c r="C19" s="9">
        <f>Assumptions!$B$10+($B$20-Assumptions!$B$10)*1/9</f>
        <v>0.09387071065973289</v>
      </c>
      <c r="D19" s="9">
        <f>Assumptions!$B$10+($B$20-Assumptions!$B$10)*2/9</f>
        <v>0.09240792138261773</v>
      </c>
      <c r="E19" s="9">
        <f>Assumptions!$B$10+($B$20-Assumptions!$B$10)*3/9</f>
        <v>0.09094513210550258</v>
      </c>
      <c r="F19" s="9">
        <f>Assumptions!$B$10+($B$20-Assumptions!$B$10)*4/9</f>
        <v>0.08948234282838742</v>
      </c>
      <c r="G19" s="9">
        <f>Assumptions!$B$10+($B$20-Assumptions!$B$10)*5/9</f>
        <v>0.08801955355127228</v>
      </c>
      <c r="H19" s="9">
        <f>Assumptions!$B$10+($B$20-Assumptions!$B$10)*6/9</f>
        <v>0.08655676427415712</v>
      </c>
      <c r="I19" s="9">
        <f>Assumptions!$B$10+($B$20-Assumptions!$B$10)*7/9</f>
        <v>0.08509397499704197</v>
      </c>
      <c r="J19" s="9">
        <f>Assumptions!$B$10+($B$20-Assumptions!$B$10)*8/9</f>
        <v>0.08363118571992681</v>
      </c>
      <c r="K19" s="9">
        <f>Assumptions!$B$10+($B$20-Assumptions!$B$10)*9/9</f>
        <v>0.08216839644281165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0.08216839644281165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2411132762.9350486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2994841181.4253836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0.212489783622283</v>
      </c>
    </row>
    <row r="7" spans="1:2" x14ac:dyDescent="0.25">
      <c r="A7" t="s">
        <v>66</v>
      </c>
      <c r="B7" s="18">
        <f>-MAX(B5,0)*B6</f>
        <v>-636373154.6241821</v>
      </c>
    </row>
    <row r="8" spans="1:2" x14ac:dyDescent="0.25">
      <c r="A8" t="s">
        <v>67</v>
      </c>
      <c r="B8" s="18">
        <f>IF(OR(Assumptions!$B$33=0,Assumptions!B12&lt;=0),B5,MAX(B5+B7,0))</f>
        <v>2358468026.8012013</v>
      </c>
    </row>
    <row r="9" spans="1:2" x14ac:dyDescent="0.25">
      <c r="A9" t="s">
        <v>68</v>
      </c>
      <c r="B9" s="18">
        <f>B8*(1+Assumptions!B12)/(Assumptions!B26-Assumptions!B12)</f>
        <v>58942977810.313805</v>
      </c>
    </row>
    <row r="10" spans="1:2" x14ac:dyDescent="0.25">
      <c r="A10" t="s">
        <v>69</v>
      </c>
      <c r="B10" s="18">
        <f>B9/(1+Assumptions!B26)^(10-0.5*Assumptions!B32)</f>
        <v>32113543043.686607</v>
      </c>
    </row>
    <row r="11" spans="1:2" x14ac:dyDescent="0.25">
      <c r="A11" t="s">
        <v>70</v>
      </c>
      <c r="B11" s="18">
        <f>Forecast!B17+B10</f>
        <v>47939983595.08951</v>
      </c>
    </row>
    <row r="12" spans="1:2" x14ac:dyDescent="0.25">
      <c r="A12" t="s">
        <v>71</v>
      </c>
      <c r="B12" s="18">
        <f>-Assumptions!B30</f>
        <v>-12110000000</v>
      </c>
    </row>
    <row r="13" spans="1:2" x14ac:dyDescent="0.25">
      <c r="A13" t="s">
        <v>72</v>
      </c>
      <c r="B13" s="18">
        <f>B11+B12</f>
        <v>35829983595.08951</v>
      </c>
    </row>
    <row r="14" spans="1:2" x14ac:dyDescent="0.25">
      <c r="A14" s="19" t="s">
        <v>73</v>
      </c>
      <c r="B14" s="24">
        <f>B13/Assumptions!B31</f>
        <v>38.50986210084924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5136121169.624184</v>
      </c>
    </row>
    <row r="18" spans="1:2" x14ac:dyDescent="0.25">
      <c r="A18" t="s">
        <v>68</v>
      </c>
      <c r="B18" s="18">
        <f>B17*Assumptions!B13</f>
        <v>37624496244.85182</v>
      </c>
    </row>
    <row r="19" spans="1:2" x14ac:dyDescent="0.25">
      <c r="A19" t="s">
        <v>69</v>
      </c>
      <c r="B19" s="18">
        <f>B18/(1+Assumptions!B26)^(10-0.5*Assumptions!B32)</f>
        <v>20498724776.75626</v>
      </c>
    </row>
    <row r="20" spans="1:2" x14ac:dyDescent="0.25">
      <c r="A20" t="s">
        <v>70</v>
      </c>
      <c r="B20" s="18">
        <f>Forecast!B17+B19</f>
        <v>36325165328.15916</v>
      </c>
    </row>
    <row r="21" spans="1:2" x14ac:dyDescent="0.25">
      <c r="A21" t="s">
        <v>71</v>
      </c>
      <c r="B21" s="18">
        <f>-Assumptions!B30</f>
        <v>-12110000000</v>
      </c>
    </row>
    <row r="22" spans="1:2" x14ac:dyDescent="0.25">
      <c r="A22" t="s">
        <v>72</v>
      </c>
      <c r="B22" s="18">
        <f>B20+B21</f>
        <v>24215165328.159157</v>
      </c>
    </row>
    <row r="23" spans="1:2" x14ac:dyDescent="0.25">
      <c r="A23" s="19" t="s">
        <v>73</v>
      </c>
      <c r="B23" s="25">
        <f>B22/Assumptions!B31</f>
        <v>26.02632164376645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29.66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38.50986210084924</v>
      </c>
    </row>
    <row r="29" spans="1:2" x14ac:dyDescent="0.25">
      <c r="A29" s="19" t="s">
        <v>81</v>
      </c>
      <c r="B29" s="11">
        <f>B28/B26-1</f>
        <v>0.2983770094689562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0.046013</v>
      </c>
      <c r="B5" s="31">
        <v>66.49616841867481</v>
      </c>
      <c r="C5" s="31">
        <v>74.38997217558473</v>
      </c>
      <c r="D5" s="31">
        <v>86.2277456648625</v>
      </c>
      <c r="E5" s="31">
        <v>105.70395875383598</v>
      </c>
      <c r="F5" s="31">
        <v>143.2223700909602</v>
      </c>
    </row>
    <row r="6" spans="1:6" x14ac:dyDescent="0.25">
      <c r="A6" s="30">
        <v>0.056013</v>
      </c>
      <c r="B6" s="31">
        <v>47.0807982063346</v>
      </c>
      <c r="C6" s="31">
        <v>50.30116679902386</v>
      </c>
      <c r="D6" s="31">
        <v>54.67981779039204</v>
      </c>
      <c r="E6" s="31">
        <v>60.88465707288462</v>
      </c>
      <c r="F6" s="31">
        <v>70.21929785579418</v>
      </c>
    </row>
    <row r="7" spans="1:6" x14ac:dyDescent="0.25">
      <c r="A7" s="30">
        <v>0.066013</v>
      </c>
      <c r="B7" s="31">
        <v>35.29097523736045</v>
      </c>
      <c r="C7" s="31">
        <v>36.687346030807916</v>
      </c>
      <c r="D7" s="32">
        <v>38.509890704636014</v>
      </c>
      <c r="E7" s="31">
        <v>40.93611760876589</v>
      </c>
      <c r="F7" s="31">
        <v>44.25800860417606</v>
      </c>
    </row>
    <row r="8" spans="1:6" x14ac:dyDescent="0.25">
      <c r="A8" s="30">
        <v>0.076013</v>
      </c>
      <c r="B8" s="31">
        <v>27.37633237930709</v>
      </c>
      <c r="C8" s="31">
        <v>27.937906268586016</v>
      </c>
      <c r="D8" s="31">
        <v>28.674760804718424</v>
      </c>
      <c r="E8" s="31">
        <v>29.644036571947975</v>
      </c>
      <c r="F8" s="31">
        <v>30.93073877512326</v>
      </c>
    </row>
    <row r="9" spans="1:6" x14ac:dyDescent="0.25">
      <c r="A9" s="30">
        <v>0.086013</v>
      </c>
      <c r="B9" s="31">
        <v>21.69906298362802</v>
      </c>
      <c r="C9" s="31">
        <v>21.841958752759627</v>
      </c>
      <c r="D9" s="31">
        <v>22.059897896050874</v>
      </c>
      <c r="E9" s="31">
        <v>22.372976652096312</v>
      </c>
      <c r="F9" s="31">
        <v>22.80917012903135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19455000000</v>
      </c>
      <c r="C5" s="18">
        <v>19267000000</v>
      </c>
      <c r="D5" s="18">
        <v>22617000000</v>
      </c>
      <c r="E5" s="18">
        <v>33965000000</v>
      </c>
      <c r="F5" s="6" t="s">
        <v>91</v>
      </c>
    </row>
    <row r="6" spans="1:6" x14ac:dyDescent="0.25">
      <c r="A6" t="s">
        <v>51</v>
      </c>
      <c r="B6" s="18">
        <v>3803000000</v>
      </c>
      <c r="C6" s="18">
        <v>3894000000</v>
      </c>
      <c r="D6" s="18">
        <v>4030000000</v>
      </c>
      <c r="E6" s="18">
        <v>3586000000</v>
      </c>
      <c r="F6" s="6" t="s">
        <v>92</v>
      </c>
    </row>
    <row r="7" spans="1:6" x14ac:dyDescent="0.25">
      <c r="A7" t="s">
        <v>93</v>
      </c>
      <c r="B7" s="18">
        <v>1601000000</v>
      </c>
      <c r="C7" s="18">
        <v>1542000000</v>
      </c>
      <c r="D7" s="18">
        <v>1454000000</v>
      </c>
      <c r="E7" s="18">
        <v>1384000000</v>
      </c>
      <c r="F7" s="6" t="s">
        <v>94</v>
      </c>
    </row>
    <row r="8" spans="1:6" x14ac:dyDescent="0.25">
      <c r="A8" t="s">
        <v>95</v>
      </c>
      <c r="B8" s="18">
        <v>2149000000</v>
      </c>
      <c r="C8" s="18">
        <v>2197000000</v>
      </c>
      <c r="D8" s="18">
        <v>2424000000</v>
      </c>
      <c r="E8" s="18">
        <v>1687000000</v>
      </c>
      <c r="F8" s="6" t="s">
        <v>96</v>
      </c>
    </row>
    <row r="9" spans="1:6" x14ac:dyDescent="0.25">
      <c r="A9" t="s">
        <v>97</v>
      </c>
      <c r="B9" s="18">
        <v>-614000000</v>
      </c>
      <c r="C9" s="18">
        <v>-58000000</v>
      </c>
      <c r="D9" s="18">
        <v>-828000000</v>
      </c>
      <c r="E9" s="18">
        <v>272000000</v>
      </c>
      <c r="F9" s="6" t="s">
        <v>98</v>
      </c>
    </row>
    <row r="10" spans="1:6" x14ac:dyDescent="0.25">
      <c r="A10" t="s">
        <v>99</v>
      </c>
      <c r="B10" s="18">
        <v>16747000000</v>
      </c>
      <c r="C10" s="18">
        <v>17978000000</v>
      </c>
      <c r="D10" s="18">
        <v>15955000000</v>
      </c>
      <c r="E10" s="18">
        <v>16260000000</v>
      </c>
      <c r="F10" s="6" t="s">
        <v>100</v>
      </c>
    </row>
    <row r="11" spans="1:6" x14ac:dyDescent="0.25">
      <c r="A11" t="s">
        <v>101</v>
      </c>
      <c r="B11" s="18">
        <v>4637000000</v>
      </c>
      <c r="C11" s="18">
        <v>5955000000</v>
      </c>
      <c r="D11" s="18">
        <v>3983000000</v>
      </c>
      <c r="E11" s="18">
        <v>4393000000</v>
      </c>
      <c r="F11" s="6" t="s">
        <v>102</v>
      </c>
    </row>
    <row r="12" spans="1:6" x14ac:dyDescent="0.25">
      <c r="A12" t="s">
        <v>34</v>
      </c>
      <c r="B12" s="34">
        <v>930410592</v>
      </c>
      <c r="C12" s="34">
        <v>960734206</v>
      </c>
      <c r="D12" s="34">
        <v>960809857</v>
      </c>
      <c r="E12" s="34">
        <v>960908336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22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