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<sst xmlns="http://schemas.openxmlformats.org/spreadsheetml/2006/main" count="114" uniqueCount="102">
  <si>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NTPC Limited (NTPC.NS)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</si>
  <si>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</si>
  <si>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</si>
  <si>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</si>
  <si>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</si>
  <si>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</si>
  <si>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</si>
  <si>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</si>
  <si>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</si>
  <si>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</si>
  <si>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</si>
  <si>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</si>
  <si>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</si>
  <si>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</si>
  <si>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</si>
  <si>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</si>
  <si>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</si>
  <si>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</si>
  <si>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</si>
  <si>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</si>
  <si>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</si>
  <si>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</si>
  <si>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</si>
  <si>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</si>
  <si>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</si>
  <si>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</si>
  <si>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</si>
  <si>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</si>
  <si>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</si>
  <si>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</si>
  <si>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</si>
  <si>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</si>
  <si>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</si>
  <si>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</si>
  <si>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</si>
  <si>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</si>
  <si>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</si>
  <si>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</si>
  <si>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</si>
  <si>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</si>
  <si>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</si>
  <si>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</si>
  <si>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</si>
  <si>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</si>
  <si>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</si>
  <si>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</si>
  <si>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</si>
  <si>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</si>
  <si>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</si>
  <si>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</si>
  <si>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</si>
  <si>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</si>
  <si>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</si>
  <si>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</si>
  <si>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</si>
  <si>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</si>
  <si>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</si>
  <si>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</si>
  <si>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</si>
  <si>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</si>
  <si>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</si>
  <si>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</si>
  <si>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</si>
  <si>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</si>
  <si>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</si>
  <si>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</si>
  <si>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</si>
  <si>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</si>
  <si>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</si>
  <si>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</si>
  <si>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</si>
  <si>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</si>
  <si>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</si>
  <si>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</si>
  <si>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</si>
  <si>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</si>
  <si>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</si>
  <si>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</si>
  <si>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</si>
  <si>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</si>
  <si>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</si>
  <si>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</si>
  <si>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</si>
  <si>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</si>
  <si>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</si>
  <si>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</si>
  <si>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</si>
  <si>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</si>
  <si>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</si>
  <si>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</si>
  <si>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</si>
  <si>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</si>
  <si>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</si>
  <si>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</si>
  <si>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</si>
  <si>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</si>
  <si>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</si>
  <si>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</si>
  <si>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9.7%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</si>
  <si>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19.5% of revenue against depreciation of 10.0%.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</si>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</sst>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0.01868097843383798</v>
      </c>
    </row>
    <row r="7" spans="1:2" x14ac:dyDescent="0.25">
      <c r="A7" t="s">
        <v>5</v>
      </c>
      <c r="B7" s="6">
        <v>0.19556820565394883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0.09957698077839776</v>
      </c>
    </row>
    <row r="10" spans="1:2" x14ac:dyDescent="0.25">
      <c r="A10" t="s">
        <v>8</v>
      </c>
      <c r="B10" s="6">
        <v>0.19456751596506272</v>
      </c>
    </row>
    <row r="11" spans="1:2" x14ac:dyDescent="0.25">
      <c r="A11" t="s">
        <v>9</v>
      </c>
      <c r="B11" s="6">
        <v>0.20675915118026922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9.6259192826871</v>
      </c>
    </row>
    <row r="14" spans="1:3" x14ac:dyDescent="0.25">
      <c r="A14" t="s">
        <v>12</v>
      </c>
      <c r="B14" s="6">
        <v>0.08248094679610941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0.5222899999999999</v>
      </c>
      <c r="C19" s="8" t="s">
        <v>19</v>
      </c>
    </row>
    <row r="20" spans="1:2" x14ac:dyDescent="0.25">
      <c r="A20" t="s">
        <v>20</v>
      </c>
      <c r="B20" s="10">
        <f>B17+B19*B18</f>
        <v>0.1097832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3138326102016</v>
      </c>
    </row>
    <row r="23" spans="1:2" x14ac:dyDescent="0.25">
      <c r="A23" t="s">
        <v>24</v>
      </c>
      <c r="B23" s="11">
        <v>2710045800000</v>
      </c>
    </row>
    <row r="24" spans="1:2" x14ac:dyDescent="0.25">
      <c r="A24" t="s">
        <v>25</v>
      </c>
      <c r="B24" s="10">
        <f>B22/(B22+B23)</f>
        <v>0.5366153443378291</v>
      </c>
    </row>
    <row r="25" spans="1:2" x14ac:dyDescent="0.25">
      <c r="A25" t="s">
        <v>26</v>
      </c>
      <c r="B25" s="10">
        <f>1-B24</f>
        <v>0.4633846556621709</v>
      </c>
    </row>
    <row r="26" spans="1:2" x14ac:dyDescent="0.25">
      <c r="A26" t="s">
        <v>27</v>
      </c>
      <c r="B26" s="12">
        <f>B24*B20+B25*B21*(1-B8)</f>
        <v>0.08248094679610941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1840152700000</v>
      </c>
      <c r="C29" s="8" t="s">
        <v>30</v>
      </c>
    </row>
    <row r="30" spans="1:2" x14ac:dyDescent="0.25">
      <c r="A30" t="s">
        <v>31</v>
      </c>
      <c r="B30" s="11">
        <v>2645549000000</v>
      </c>
    </row>
    <row r="31" spans="1:2" x14ac:dyDescent="0.25">
      <c r="A31" t="s">
        <v>32</v>
      </c>
      <c r="B31" s="13">
        <v>9696666134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0.01868097843383798</v>
      </c>
      <c r="C5" s="10">
        <f>Assumptions!B6</f>
        <v>0.01868097843383798</v>
      </c>
      <c r="D5" s="10">
        <f>Assumptions!B6</f>
        <v>0.01868097843383798</v>
      </c>
      <c r="E5" s="10">
        <f>Assumptions!B6</f>
        <v>0.01868097843383798</v>
      </c>
      <c r="F5" s="10">
        <f>Assumptions!B6</f>
        <v>0.01868097843383798</v>
      </c>
    </row>
    <row r="6" spans="1:6" x14ac:dyDescent="0.25">
      <c r="A6" t="s">
        <v>43</v>
      </c>
      <c r="B6" s="18">
        <f>Assumptions!B29*(1+B5)</f>
        <v>1874528552903.6687</v>
      </c>
      <c r="C6" s="18">
        <f>B6*(1+C5)</f>
        <v>1909546580374.0757</v>
      </c>
      <c r="D6" s="18">
        <f>C6*(1+D5)</f>
        <v>1945218778860.453</v>
      </c>
      <c r="E6" s="18">
        <f>D6*(1+E5)</f>
        <v>1981557368917.4417</v>
      </c>
      <c r="F6" s="18">
        <f>E6*(1+F5)</f>
        <v>2018574799391.601</v>
      </c>
    </row>
    <row r="7" spans="1:6" x14ac:dyDescent="0.25">
      <c r="A7" t="s">
        <v>5</v>
      </c>
      <c r="B7" s="10">
        <f>Assumptions!B7</f>
        <v>0.19556820565394883</v>
      </c>
      <c r="C7" s="10">
        <f>Assumptions!B7</f>
        <v>0.19556820565394883</v>
      </c>
      <c r="D7" s="10">
        <f>Assumptions!B7</f>
        <v>0.19556820565394883</v>
      </c>
      <c r="E7" s="10">
        <f>Assumptions!B7</f>
        <v>0.19556820565394883</v>
      </c>
      <c r="F7" s="10">
        <f>Assumptions!B7</f>
        <v>0.19556820565394883</v>
      </c>
    </row>
    <row r="8" spans="1:6" x14ac:dyDescent="0.25">
      <c r="A8" t="s">
        <v>44</v>
      </c>
      <c r="B8" s="18">
        <f>B6*B7</f>
        <v>366598185538.4638</v>
      </c>
      <c r="C8" s="18">
        <f>C6*C7</f>
        <v>373446598336.39197</v>
      </c>
      <c r="D8" s="18">
        <f>D6*D7</f>
        <v>380422946186.10425</v>
      </c>
      <c r="E8" s="18">
        <f>E6*E7</f>
        <v>387529619039.544</v>
      </c>
      <c r="F8" s="18">
        <f>F6*F7</f>
        <v>394769051495.29517</v>
      </c>
    </row>
    <row r="9" spans="1:6" x14ac:dyDescent="0.25">
      <c r="A9" t="s">
        <v>45</v>
      </c>
      <c r="B9" s="18">
        <f>B8*(1-Assumptions!B8)</f>
        <v>274215442782.77094</v>
      </c>
      <c r="C9" s="18">
        <f>C8*(1-Assumptions!B8)</f>
        <v>279338055555.6212</v>
      </c>
      <c r="D9" s="18">
        <f>D8*(1-Assumptions!B8)</f>
        <v>284556363747.206</v>
      </c>
      <c r="E9" s="18">
        <f>E8*(1-Assumptions!B8)</f>
        <v>289872155041.5789</v>
      </c>
      <c r="F9" s="18">
        <f>F8*(1-Assumptions!B8)</f>
        <v>295287250518.4808</v>
      </c>
    </row>
    <row r="10" spans="1:6" x14ac:dyDescent="0.25">
      <c r="A10" t="s">
        <v>46</v>
      </c>
      <c r="B10" s="18">
        <f>B6*Assumptions!B9</f>
        <v>186659893681.0464</v>
      </c>
      <c r="C10" s="18">
        <f>C6*Assumptions!B9</f>
        <v>190146883129.3645</v>
      </c>
      <c r="D10" s="18">
        <f>D6*Assumptions!B9</f>
        <v>193699012952.36566</v>
      </c>
      <c r="E10" s="18">
        <f>E6*Assumptions!B9</f>
        <v>197317500035.98453</v>
      </c>
      <c r="F10" s="18">
        <f>F6*Assumptions!B9</f>
        <v>201003583998.77557</v>
      </c>
    </row>
    <row r="11" spans="1:6" x14ac:dyDescent="0.25">
      <c r="A11" t="s">
        <v>47</v>
      </c>
      <c r="B11" s="18">
        <f>-B6*Assumptions!B10</f>
        <v>-364722364144.0505</v>
      </c>
      <c r="C11" s="18">
        <f>-C6*Assumptions!B10</f>
        <v>-371535734762.96387</v>
      </c>
      <c r="D11" s="18">
        <f>-D6*Assumptions!B10</f>
        <v>-378476385811.47095</v>
      </c>
      <c r="E11" s="18">
        <f>-E6*Assumptions!B10</f>
        <v>-385546695012.532</v>
      </c>
      <c r="F11" s="18">
        <f>-F6*Assumptions!B10</f>
        <v>-392749084507.29865</v>
      </c>
    </row>
    <row r="12" spans="1:6" x14ac:dyDescent="0.25">
      <c r="A12" t="s">
        <v>48</v>
      </c>
      <c r="B12" s="18">
        <f>-(B6-Assumptions!B29)*Assumptions!B11</f>
        <v>-7107522167.460334</v>
      </c>
      <c r="C12" s="18">
        <f>-(C6-B6)*Assumptions!B11</f>
        <v>-7240297635.788698</v>
      </c>
      <c r="D12" s="18">
        <f>-(D6-C6)*Assumptions!B11</f>
        <v>-7375553479.777433</v>
      </c>
      <c r="E12" s="18">
        <f>-(E6-D6)*Assumptions!B11</f>
        <v>-7513336035.270769</v>
      </c>
      <c r="F12" s="18">
        <f>-(F6-E6)*Assumptions!B11</f>
        <v>-7653692503.711833</v>
      </c>
    </row>
    <row r="13" spans="1:6" x14ac:dyDescent="0.25">
      <c r="A13" s="19" t="s">
        <v>49</v>
      </c>
      <c r="B13" s="20">
        <f>B9+B10+B11+B12</f>
        <v>89045450152.30652</v>
      </c>
      <c r="C13" s="20">
        <f>C9+C10+C11+C12</f>
        <v>90708906286.23315</v>
      </c>
      <c r="D13" s="20">
        <f>D9+D10+D11+D12</f>
        <v>92403437408.32327</v>
      </c>
      <c r="E13" s="20">
        <f>E9+E10+E11+E12</f>
        <v>94129624029.76073</v>
      </c>
      <c r="F13" s="20">
        <f>F9+F10+F11+F12</f>
        <v>95888057506.24586</v>
      </c>
    </row>
    <row r="14" spans="1:6" x14ac:dyDescent="0.25">
      <c r="A14" t="s">
        <v>50</v>
      </c>
      <c r="B14" s="21">
        <f>1/(1+Assumptions!$B$26)^(1-0.5*Assumptions!$B$32)</f>
        <v>0.9611471213307784</v>
      </c>
      <c r="C14" s="21">
        <f>1/(1+Assumptions!$B$26)^(2-0.5*Assumptions!$B$32)</f>
        <v>0.8879113523203797</v>
      </c>
      <c r="D14" s="21">
        <f>1/(1+Assumptions!$B$26)^(3-0.5*Assumptions!$B$32)</f>
        <v>0.8202558714297834</v>
      </c>
      <c r="E14" s="21">
        <f>1/(1+Assumptions!$B$26)^(4-0.5*Assumptions!$B$32)</f>
        <v>0.7577554818470931</v>
      </c>
      <c r="F14" s="21">
        <f>1/(1+Assumptions!$B$26)^(5-0.5*Assumptions!$B$32)</f>
        <v>0.700017385146475</v>
      </c>
    </row>
    <row r="15" spans="1:6" x14ac:dyDescent="0.25">
      <c r="A15" s="19" t="s">
        <v>51</v>
      </c>
      <c r="B15" s="20">
        <f>B13*B14</f>
        <v>85585778081.49274</v>
      </c>
      <c r="C15" s="20">
        <f>C13*C14</f>
        <v>80541467648.11186</v>
      </c>
      <c r="D15" s="20">
        <f>D13*D14</f>
        <v>75794462074.47165</v>
      </c>
      <c r="E15" s="20">
        <f>E13*E14</f>
        <v>71327238612.75705</v>
      </c>
      <c r="F15" s="20">
        <f>F13*F14</f>
        <v>67123307282.29706</v>
      </c>
    </row>
    <row r="17" spans="1:2" x14ac:dyDescent="0.25">
      <c r="A17" s="22" t="s">
        <v>52</v>
      </c>
      <c r="B17" s="23">
        <f>SUM(B15:F15)</f>
        <v>380372253699.1304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95888057506.24586</v>
      </c>
    </row>
    <row r="5" spans="1:2" x14ac:dyDescent="0.25">
      <c r="A5" t="s">
        <v>56</v>
      </c>
      <c r="B5" s="18">
        <f>IF(Assumptions!$B$33=0,B4,B4-Forecast!F11-Forecast!F10-Forecast!F12)</f>
        <v>295486239979.9001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0.3031003034167309</v>
      </c>
    </row>
    <row r="7" spans="1:2" x14ac:dyDescent="0.25">
      <c r="A7" t="s">
        <v>58</v>
      </c>
      <c r="B7" s="18">
        <f>-MAX(Forecast!F9,0)*B6</f>
        <v>-89561968993.37668</v>
      </c>
    </row>
    <row r="8" spans="1:2" x14ac:dyDescent="0.25">
      <c r="A8" t="s">
        <v>59</v>
      </c>
      <c r="B8" s="18">
        <f>IF(OR(Assumptions!$B$33=0,Assumptions!B12&lt;=0),B5,MAX(B5+B7,0))</f>
        <v>205924270986.5234</v>
      </c>
    </row>
    <row r="9" spans="1:2" x14ac:dyDescent="0.25">
      <c r="A9" t="s">
        <v>60</v>
      </c>
      <c r="B9" s="18">
        <f>B8*(1+Assumptions!B12)/(Assumptions!B26-Assumptions!B12)</f>
        <v>3672040728728.443</v>
      </c>
    </row>
    <row r="10" spans="1:2" x14ac:dyDescent="0.25">
      <c r="A10" t="s">
        <v>61</v>
      </c>
      <c r="B10" s="18">
        <f>B9/(1+Assumptions!B26)^(5-0.5*Assumptions!B32)</f>
        <v>2570492349075.8413</v>
      </c>
    </row>
    <row r="11" spans="1:2" x14ac:dyDescent="0.25">
      <c r="A11" t="s">
        <v>62</v>
      </c>
      <c r="B11" s="18">
        <f>Forecast!B17+B10</f>
        <v>2950864602774.9717</v>
      </c>
    </row>
    <row r="12" spans="1:2" x14ac:dyDescent="0.25">
      <c r="A12" t="s">
        <v>63</v>
      </c>
      <c r="B12" s="18">
        <f>-Assumptions!B30</f>
        <v>-2645549000000</v>
      </c>
    </row>
    <row r="13" spans="1:2" x14ac:dyDescent="0.25">
      <c r="A13" t="s">
        <v>64</v>
      </c>
      <c r="B13" s="18">
        <f>B11+B12</f>
        <v>305315602774.9717</v>
      </c>
    </row>
    <row r="14" spans="1:2" x14ac:dyDescent="0.25">
      <c r="A14" s="19" t="s">
        <v>65</v>
      </c>
      <c r="B14" s="24">
        <f>B13/Assumptions!B31</f>
        <v>31.48665722380864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595772635494.0708</v>
      </c>
    </row>
    <row r="18" spans="1:2" x14ac:dyDescent="0.25">
      <c r="A18" t="s">
        <v>60</v>
      </c>
      <c r="B18" s="18">
        <f>B17*Assumptions!B13</f>
        <v>5734859300099.689</v>
      </c>
    </row>
    <row r="19" spans="1:2" x14ac:dyDescent="0.25">
      <c r="A19" t="s">
        <v>61</v>
      </c>
      <c r="B19" s="18">
        <f>B18/(1+Assumptions!B26)^(5-0.5*Assumptions!B32)</f>
        <v>4014501211438.7285</v>
      </c>
    </row>
    <row r="20" spans="1:2" x14ac:dyDescent="0.25">
      <c r="A20" t="s">
        <v>62</v>
      </c>
      <c r="B20" s="18">
        <f>Forecast!B17+B19</f>
        <v>4394873465137.859</v>
      </c>
    </row>
    <row r="21" spans="1:2" x14ac:dyDescent="0.25">
      <c r="A21" t="s">
        <v>63</v>
      </c>
      <c r="B21" s="18">
        <f>-Assumptions!B30</f>
        <v>-2645549000000</v>
      </c>
    </row>
    <row r="22" spans="1:2" x14ac:dyDescent="0.25">
      <c r="A22" t="s">
        <v>64</v>
      </c>
      <c r="B22" s="18">
        <f>B20+B21</f>
        <v>1749324465137.859</v>
      </c>
    </row>
    <row r="23" spans="1:2" x14ac:dyDescent="0.25">
      <c r="A23" s="19" t="s">
        <v>65</v>
      </c>
      <c r="B23" s="25">
        <f>B22/Assumptions!B31</f>
        <v>180.40473302510622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323.65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31.48665722380864</v>
      </c>
    </row>
    <row r="29" spans="1:2" x14ac:dyDescent="0.25">
      <c r="A29" s="19" t="s">
        <v>73</v>
      </c>
      <c r="B29" s="12">
        <f>B28/B26-1</f>
        <v>-0.9027138661399393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0.062481</v>
      </c>
      <c r="B5" s="31">
        <v>145.68904472698733</v>
      </c>
      <c r="C5" s="31">
        <v>147.86033916353</v>
      </c>
      <c r="D5" s="31">
        <v>150.11825716281942</v>
      </c>
      <c r="E5" s="31">
        <v>152.5028022173957</v>
      </c>
      <c r="F5" s="31">
        <v>155.08309138374523</v>
      </c>
    </row>
    <row r="6" spans="1:6" x14ac:dyDescent="0.25">
      <c r="A6" s="30">
        <v>0.072481</v>
      </c>
      <c r="B6" s="31">
        <v>78.73624515848265</v>
      </c>
      <c r="C6" s="31">
        <v>80.27053502040779</v>
      </c>
      <c r="D6" s="31">
        <v>81.80482488233274</v>
      </c>
      <c r="E6" s="31">
        <v>83.33911474425778</v>
      </c>
      <c r="F6" s="31">
        <v>84.87340460618285</v>
      </c>
    </row>
    <row r="7" spans="1:6" x14ac:dyDescent="0.25">
      <c r="A7" s="30">
        <v>0.082481</v>
      </c>
      <c r="B7" s="31">
        <v>28.900178206479534</v>
      </c>
      <c r="C7" s="31">
        <v>30.19330060895053</v>
      </c>
      <c r="D7" s="32">
        <v>31.486423011421326</v>
      </c>
      <c r="E7" s="31">
        <v>32.77954541389222</v>
      </c>
      <c r="F7" s="31">
        <v>34.072667816363015</v>
      </c>
    </row>
    <row r="8" spans="1:6" x14ac:dyDescent="0.25">
      <c r="A8" s="30">
        <v>0.092481</v>
      </c>
      <c r="B8" s="31">
        <v>-9.820162854017271</v>
      </c>
      <c r="C8" s="31">
        <v>-8.713616046792955</v>
      </c>
      <c r="D8" s="31">
        <v>-7.60706923956864</v>
      </c>
      <c r="E8" s="31">
        <v>-6.500522432344323</v>
      </c>
      <c r="F8" s="31">
        <v>-5.393975625120108</v>
      </c>
    </row>
    <row r="9" spans="1:6" x14ac:dyDescent="0.25">
      <c r="A9" s="30">
        <v>0.102481</v>
      </c>
      <c r="B9" s="31">
        <v>-40.69650859103665</v>
      </c>
      <c r="C9" s="31">
        <v>-39.73805418656778</v>
      </c>
      <c r="D9" s="31">
        <v>-38.77959978209897</v>
      </c>
      <c r="E9" s="31">
        <v>-37.8211453776301</v>
      </c>
      <c r="F9" s="31">
        <v>-36.862690973161286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1840152700000</v>
      </c>
      <c r="C5" s="18">
        <v>1862462500000</v>
      </c>
      <c r="D5" s="18">
        <v>1767196100000</v>
      </c>
      <c r="E5" s="18">
        <v>1740761500000</v>
      </c>
      <c r="F5" s="8" t="s">
        <v>84</v>
      </c>
    </row>
    <row r="6" spans="1:6" x14ac:dyDescent="0.25">
      <c r="A6" t="s">
        <v>44</v>
      </c>
      <c r="B6" s="18">
        <v>384074900000</v>
      </c>
      <c r="C6" s="18">
        <v>363401500000</v>
      </c>
      <c r="D6" s="18">
        <v>331496900000</v>
      </c>
      <c r="E6" s="18">
        <v>332226800000</v>
      </c>
      <c r="F6" s="8" t="s">
        <v>85</v>
      </c>
    </row>
    <row r="7" spans="1:6" x14ac:dyDescent="0.25">
      <c r="A7" t="s">
        <v>86</v>
      </c>
      <c r="B7" s="18">
        <v>216789800000</v>
      </c>
      <c r="C7" s="18">
        <v>193379700000</v>
      </c>
      <c r="D7" s="18">
        <v>162036300000</v>
      </c>
      <c r="E7" s="18">
        <v>147922700000</v>
      </c>
      <c r="F7" s="8" t="s">
        <v>87</v>
      </c>
    </row>
    <row r="8" spans="1:6" x14ac:dyDescent="0.25">
      <c r="A8" t="s">
        <v>88</v>
      </c>
      <c r="B8" s="18">
        <v>440497800000</v>
      </c>
      <c r="C8" s="18">
        <v>413352500000</v>
      </c>
      <c r="D8" s="18">
        <v>308159200000</v>
      </c>
      <c r="E8" s="18">
        <v>248185200000</v>
      </c>
      <c r="F8" s="8" t="s">
        <v>89</v>
      </c>
    </row>
    <row r="9" spans="1:6" x14ac:dyDescent="0.25">
      <c r="A9" t="s">
        <v>90</v>
      </c>
      <c r="B9" s="18">
        <v>32779700000</v>
      </c>
      <c r="C9" s="18">
        <v>19697200000</v>
      </c>
      <c r="D9" s="18">
        <v>97061500000</v>
      </c>
      <c r="E9" s="18">
        <v>-4552500000</v>
      </c>
      <c r="F9" s="8" t="s">
        <v>91</v>
      </c>
    </row>
    <row r="10" spans="1:6" x14ac:dyDescent="0.25">
      <c r="A10" t="s">
        <v>92</v>
      </c>
      <c r="B10" s="18">
        <v>2710045800000</v>
      </c>
      <c r="C10" s="18">
        <v>2500961500000</v>
      </c>
      <c r="D10" s="18">
        <v>2371309800000</v>
      </c>
      <c r="E10" s="18">
        <v>2229131600000</v>
      </c>
      <c r="F10" s="8" t="s">
        <v>93</v>
      </c>
    </row>
    <row r="11" spans="1:6" x14ac:dyDescent="0.25">
      <c r="A11" t="s">
        <v>94</v>
      </c>
      <c r="B11" s="18">
        <v>64496800000</v>
      </c>
      <c r="C11" s="18">
        <v>51826400000</v>
      </c>
      <c r="D11" s="18">
        <v>40649200000</v>
      </c>
      <c r="E11" s="18">
        <v>23570600000</v>
      </c>
      <c r="F11" s="8" t="s">
        <v>95</v>
      </c>
    </row>
    <row r="12" spans="1:6" x14ac:dyDescent="0.25">
      <c r="A12" t="s">
        <v>32</v>
      </c>
      <c r="B12" s="34">
        <v>9696666134</v>
      </c>
      <c r="C12" s="34">
        <v>9696666134</v>
      </c>
      <c r="D12" s="34">
        <v>9696666134</v>
      </c>
      <c r="E12" s="34">
        <v>9696666134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