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<sst xmlns="http://schemas.openxmlformats.org/spreadsheetml/2006/main" count="113" uniqueCount="101">
  <si>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Nutrien Ltd. (NTR.TO)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</si>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</sst>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-0.1080276247812555</v>
      </c>
    </row>
    <row r="7" spans="1:2" x14ac:dyDescent="0.25">
      <c r="A7" t="s">
        <v>5</v>
      </c>
      <c r="B7" s="6">
        <v>0.16488944146617268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0.07648325507130278</v>
      </c>
    </row>
    <row r="10" spans="1:2" x14ac:dyDescent="0.25">
      <c r="A10" t="s">
        <v>8</v>
      </c>
      <c r="B10" s="6">
        <v>0.07808143997304232</v>
      </c>
    </row>
    <row r="11" spans="1:2" x14ac:dyDescent="0.25">
      <c r="A11" t="s">
        <v>9</v>
      </c>
      <c r="B11" s="6">
        <v>0.05743090167648392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10.072591656300096</v>
      </c>
    </row>
    <row r="14" spans="1:3" x14ac:dyDescent="0.25">
      <c r="A14" t="s">
        <v>12</v>
      </c>
      <c r="B14" s="6">
        <v>0.08178926383478344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1.05092</v>
      </c>
      <c r="C19" s="8" t="s">
        <v>19</v>
      </c>
    </row>
    <row r="20" spans="1:2" x14ac:dyDescent="0.25">
      <c r="A20" t="s">
        <v>20</v>
      </c>
      <c r="B20" s="10">
        <f>B17+B19*B18</f>
        <v>0.09080060000000001</v>
      </c>
    </row>
    <row r="21" spans="1:3" x14ac:dyDescent="0.25">
      <c r="A21" t="s">
        <v>21</v>
      </c>
      <c r="B21" s="6">
        <v>0.05872875211471844</v>
      </c>
      <c r="C21" s="8" t="s">
        <v>22</v>
      </c>
    </row>
    <row r="22" spans="1:2" x14ac:dyDescent="0.25">
      <c r="A22" t="s">
        <v>23</v>
      </c>
      <c r="B22" s="11">
        <v>51514826752</v>
      </c>
    </row>
    <row r="23" spans="1:2" x14ac:dyDescent="0.25">
      <c r="A23" t="s">
        <v>24</v>
      </c>
      <c r="B23" s="11">
        <v>12019000000</v>
      </c>
    </row>
    <row r="24" spans="1:2" x14ac:dyDescent="0.25">
      <c r="A24" t="s">
        <v>25</v>
      </c>
      <c r="B24" s="10">
        <f>B22/(B22+B23)</f>
        <v>0.8108251837731205</v>
      </c>
    </row>
    <row r="25" spans="1:2" x14ac:dyDescent="0.25">
      <c r="A25" t="s">
        <v>26</v>
      </c>
      <c r="B25" s="10">
        <f>1-B24</f>
        <v>0.18917481622687948</v>
      </c>
    </row>
    <row r="26" spans="1:2" x14ac:dyDescent="0.25">
      <c r="A26" t="s">
        <v>27</v>
      </c>
      <c r="B26" s="12">
        <f>B24*B20+B25*B21*(1-B8)</f>
        <v>0.08178926383478344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26885000000</v>
      </c>
      <c r="C29" s="8" t="s">
        <v>30</v>
      </c>
    </row>
    <row r="30" spans="1:2" x14ac:dyDescent="0.25">
      <c r="A30" t="s">
        <v>31</v>
      </c>
      <c r="B30" s="11">
        <v>11318000000</v>
      </c>
    </row>
    <row r="31" spans="1:2" x14ac:dyDescent="0.25">
      <c r="A31" t="s">
        <v>32</v>
      </c>
      <c r="B31" s="13">
        <v>486518000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-0.1080276247812555</v>
      </c>
      <c r="C5" s="10">
        <f>Assumptions!B6</f>
        <v>-0.1080276247812555</v>
      </c>
      <c r="D5" s="10">
        <f>Assumptions!B6</f>
        <v>-0.1080276247812555</v>
      </c>
      <c r="E5" s="10">
        <f>Assumptions!B6</f>
        <v>-0.1080276247812555</v>
      </c>
      <c r="F5" s="10">
        <f>Assumptions!B6</f>
        <v>-0.1080276247812555</v>
      </c>
    </row>
    <row r="6" spans="1:6" x14ac:dyDescent="0.25">
      <c r="A6" t="s">
        <v>43</v>
      </c>
      <c r="B6" s="18">
        <f>Assumptions!B29*(1+B5)</f>
        <v>23980677307.755947</v>
      </c>
      <c r="C6" s="18">
        <f>B6*(1+C5)</f>
        <v>21390101697.553318</v>
      </c>
      <c r="D6" s="18">
        <f>C6*(1+D5)</f>
        <v>19079379817.33713</v>
      </c>
      <c r="E6" s="18">
        <f>D6*(1+E5)</f>
        <v>17018279733.370777</v>
      </c>
      <c r="F6" s="18">
        <f>E6*(1+F5)</f>
        <v>15179835395.911755</v>
      </c>
    </row>
    <row r="7" spans="1:6" x14ac:dyDescent="0.25">
      <c r="A7" t="s">
        <v>5</v>
      </c>
      <c r="B7" s="10">
        <f>Assumptions!B7</f>
        <v>0.16488944146617268</v>
      </c>
      <c r="C7" s="10">
        <f>Assumptions!B7</f>
        <v>0.16488944146617268</v>
      </c>
      <c r="D7" s="10">
        <f>Assumptions!B7</f>
        <v>0.16488944146617268</v>
      </c>
      <c r="E7" s="10">
        <f>Assumptions!B7</f>
        <v>0.16488944146617268</v>
      </c>
      <c r="F7" s="10">
        <f>Assumptions!B7</f>
        <v>0.16488944146617268</v>
      </c>
    </row>
    <row r="8" spans="1:6" x14ac:dyDescent="0.25">
      <c r="A8" t="s">
        <v>44</v>
      </c>
      <c r="B8" s="18">
        <f>B6*B7</f>
        <v>3954160487.2563996</v>
      </c>
      <c r="C8" s="18">
        <f>C6*C7</f>
        <v>3527001921.814199</v>
      </c>
      <c r="D8" s="18">
        <f>D6*D7</f>
        <v>3145988281.6016874</v>
      </c>
      <c r="E8" s="18">
        <f>E6*E7</f>
        <v>2806134639.9505935</v>
      </c>
      <c r="F8" s="18">
        <f>F6*F7</f>
        <v>2502994579.9803276</v>
      </c>
    </row>
    <row r="9" spans="1:6" x14ac:dyDescent="0.25">
      <c r="A9" t="s">
        <v>45</v>
      </c>
      <c r="B9" s="18">
        <f>B8*(1-Assumptions!B8)</f>
        <v>2906307958.133454</v>
      </c>
      <c r="C9" s="18">
        <f>C8*(1-Assumptions!B8)</f>
        <v>2592346412.5334363</v>
      </c>
      <c r="D9" s="18">
        <f>D8*(1-Assumptions!B8)</f>
        <v>2312301386.97724</v>
      </c>
      <c r="E9" s="18">
        <f>E8*(1-Assumptions!B8)</f>
        <v>2062508960.363686</v>
      </c>
      <c r="F9" s="18">
        <f>F8*(1-Assumptions!B8)</f>
        <v>1839701016.2855408</v>
      </c>
    </row>
    <row r="10" spans="1:6" x14ac:dyDescent="0.25">
      <c r="A10" t="s">
        <v>46</v>
      </c>
      <c r="B10" s="18">
        <f>B6*Assumptions!B9</f>
        <v>1834120259.3117006</v>
      </c>
      <c r="C10" s="18">
        <f>C6*Assumptions!B9</f>
        <v>1635984604.135077</v>
      </c>
      <c r="D10" s="18">
        <f>D6*Assumptions!B9</f>
        <v>1459253073.171662</v>
      </c>
      <c r="E10" s="18">
        <f>E6*Assumptions!B9</f>
        <v>1301613429.72218</v>
      </c>
      <c r="F10" s="18">
        <f>F6*Assumptions!B9</f>
        <v>1161003222.5259092</v>
      </c>
    </row>
    <row r="11" spans="1:6" x14ac:dyDescent="0.25">
      <c r="A11" t="s">
        <v>47</v>
      </c>
      <c r="B11" s="18">
        <f>-B6*Assumptions!B10</f>
        <v>-1872445815.718444</v>
      </c>
      <c r="C11" s="18">
        <f>-C6*Assumptions!B10</f>
        <v>-1670169941.7147799</v>
      </c>
      <c r="D11" s="18">
        <f>-D6*Assumptions!B10</f>
        <v>-1489745449.9302843</v>
      </c>
      <c r="E11" s="18">
        <f>-E6*Assumptions!B10</f>
        <v>-1328811787.445633</v>
      </c>
      <c r="F11" s="18">
        <f>-F6*Assumptions!B10</f>
        <v>-1185263406.2665467</v>
      </c>
    </row>
    <row r="12" spans="1:6" x14ac:dyDescent="0.25">
      <c r="A12" t="s">
        <v>48</v>
      </c>
      <c r="B12" s="18">
        <f>-(B6-Assumptions!B29)*Assumptions!B11</f>
        <v>166797870.97504926</v>
      </c>
      <c r="C12" s="18">
        <f>-(C6-B6)*Assumptions!B11</f>
        <v>148779093.15504453</v>
      </c>
      <c r="D12" s="18">
        <f>-(D6-C6)*Assumptions!B11</f>
        <v>132706841.10439585</v>
      </c>
      <c r="E12" s="18">
        <f>-(E6-D6)*Assumptions!B11</f>
        <v>118370836.26766445</v>
      </c>
      <c r="F12" s="18">
        <f>-(F6-E6)*Assumptions!B11</f>
        <v>105583515.98229773</v>
      </c>
    </row>
    <row r="13" spans="1:6" x14ac:dyDescent="0.25">
      <c r="A13" s="19" t="s">
        <v>49</v>
      </c>
      <c r="B13" s="20">
        <f>B9+B10+B11+B12</f>
        <v>3034780272.7017593</v>
      </c>
      <c r="C13" s="20">
        <f>C9+C10+C11+C12</f>
        <v>2706940168.108778</v>
      </c>
      <c r="D13" s="20">
        <f>D9+D10+D11+D12</f>
        <v>2414515851.3230133</v>
      </c>
      <c r="E13" s="20">
        <f>E9+E10+E11+E12</f>
        <v>2153681438.9078975</v>
      </c>
      <c r="F13" s="20">
        <f>F9+F10+F11+F12</f>
        <v>1921024348.527201</v>
      </c>
    </row>
    <row r="14" spans="1:6" x14ac:dyDescent="0.25">
      <c r="A14" t="s">
        <v>50</v>
      </c>
      <c r="B14" s="21">
        <f>1/(1+Assumptions!$B$26)^(1-0.5*Assumptions!$B$32)</f>
        <v>0.9614543451476586</v>
      </c>
      <c r="C14" s="21">
        <f>1/(1+Assumptions!$B$26)^(2-0.5*Assumptions!$B$32)</f>
        <v>0.8887630680854095</v>
      </c>
      <c r="D14" s="21">
        <f>1/(1+Assumptions!$B$26)^(3-0.5*Assumptions!$B$32)</f>
        <v>0.8215676544384213</v>
      </c>
      <c r="E14" s="21">
        <f>1/(1+Assumptions!$B$26)^(4-0.5*Assumptions!$B$32)</f>
        <v>0.7594525864733442</v>
      </c>
      <c r="F14" s="21">
        <f>1/(1+Assumptions!$B$26)^(5-0.5*Assumptions!$B$32)</f>
        <v>0.7020337619003509</v>
      </c>
    </row>
    <row r="15" spans="1:6" x14ac:dyDescent="0.25">
      <c r="A15" s="19" t="s">
        <v>51</v>
      </c>
      <c r="B15" s="20">
        <f>B13*B14</f>
        <v>2917802679.757503</v>
      </c>
      <c r="C15" s="20">
        <f>C13*C14</f>
        <v>2405828448.9319916</v>
      </c>
      <c r="D15" s="20">
        <f>D13*D14</f>
        <v>1983688124.575836</v>
      </c>
      <c r="E15" s="20">
        <f>E13*E14</f>
        <v>1635618939.2182364</v>
      </c>
      <c r="F15" s="20">
        <f>F13*F14</f>
        <v>1348623950.0987217</v>
      </c>
    </row>
    <row r="17" spans="1:2" x14ac:dyDescent="0.25">
      <c r="A17" s="22" t="s">
        <v>52</v>
      </c>
      <c r="B17" s="23">
        <f>SUM(B15:F15)</f>
        <v>10291562142.58229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1921024348.527201</v>
      </c>
    </row>
    <row r="5" spans="1:2" x14ac:dyDescent="0.25">
      <c r="A5" t="s">
        <v>56</v>
      </c>
      <c r="B5" s="18">
        <f>IF(Assumptions!$B$33=0,B4,B4-Forecast!F11-Forecast!F10-Forecast!F12)</f>
        <v>1839701016.2855408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0.3056635899120047</v>
      </c>
    </row>
    <row r="7" spans="1:2" x14ac:dyDescent="0.25">
      <c r="A7" t="s">
        <v>58</v>
      </c>
      <c r="B7" s="18">
        <f>-MAX(Forecast!F9,0)*B6</f>
        <v>-562329617.0026019</v>
      </c>
    </row>
    <row r="8" spans="1:2" x14ac:dyDescent="0.25">
      <c r="A8" t="s">
        <v>59</v>
      </c>
      <c r="B8" s="18">
        <f>IF(OR(Assumptions!$B$33=0,Assumptions!B12&lt;=0),B5,MAX(B5+B7,0))</f>
        <v>1277371399.282939</v>
      </c>
    </row>
    <row r="9" spans="1:2" x14ac:dyDescent="0.25">
      <c r="A9" t="s">
        <v>60</v>
      </c>
      <c r="B9" s="18">
        <f>B8*(1+Assumptions!B12)/(Assumptions!B26-Assumptions!B12)</f>
        <v>23055514297.10667</v>
      </c>
    </row>
    <row r="10" spans="1:2" x14ac:dyDescent="0.25">
      <c r="A10" t="s">
        <v>61</v>
      </c>
      <c r="B10" s="18">
        <f>B9/(1+Assumptions!B26)^(5-0.5*Assumptions!B32)</f>
        <v>16185749434.54512</v>
      </c>
    </row>
    <row r="11" spans="1:2" x14ac:dyDescent="0.25">
      <c r="A11" t="s">
        <v>62</v>
      </c>
      <c r="B11" s="18">
        <f>Forecast!B17+B10</f>
        <v>26477311577.12741</v>
      </c>
    </row>
    <row r="12" spans="1:2" x14ac:dyDescent="0.25">
      <c r="A12" t="s">
        <v>63</v>
      </c>
      <c r="B12" s="18">
        <f>-Assumptions!B30</f>
        <v>-11318000000</v>
      </c>
    </row>
    <row r="13" spans="1:2" x14ac:dyDescent="0.25">
      <c r="A13" t="s">
        <v>64</v>
      </c>
      <c r="B13" s="18">
        <f>B11+B12</f>
        <v>15159311577.12741</v>
      </c>
    </row>
    <row r="14" spans="1:2" x14ac:dyDescent="0.25">
      <c r="A14" s="19" t="s">
        <v>65</v>
      </c>
      <c r="B14" s="24">
        <f>B13/Assumptions!B31</f>
        <v>31.158788733669486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3663997802.506237</v>
      </c>
    </row>
    <row r="18" spans="1:2" x14ac:dyDescent="0.25">
      <c r="A18" t="s">
        <v>60</v>
      </c>
      <c r="B18" s="18">
        <f>B17*Assumptions!B13</f>
        <v>36905953694.22621</v>
      </c>
    </row>
    <row r="19" spans="1:2" x14ac:dyDescent="0.25">
      <c r="A19" t="s">
        <v>61</v>
      </c>
      <c r="B19" s="18">
        <f>B18/(1+Assumptions!B26)^(5-0.5*Assumptions!B32)</f>
        <v>25909225508.477783</v>
      </c>
    </row>
    <row r="20" spans="1:2" x14ac:dyDescent="0.25">
      <c r="A20" t="s">
        <v>62</v>
      </c>
      <c r="B20" s="18">
        <f>Forecast!B17+B19</f>
        <v>36200787651.060074</v>
      </c>
    </row>
    <row r="21" spans="1:2" x14ac:dyDescent="0.25">
      <c r="A21" t="s">
        <v>63</v>
      </c>
      <c r="B21" s="18">
        <f>-Assumptions!B30</f>
        <v>-11318000000</v>
      </c>
    </row>
    <row r="22" spans="1:2" x14ac:dyDescent="0.25">
      <c r="A22" t="s">
        <v>64</v>
      </c>
      <c r="B22" s="18">
        <f>B20+B21</f>
        <v>24882787651.060074</v>
      </c>
    </row>
    <row r="23" spans="1:2" x14ac:dyDescent="0.25">
      <c r="A23" s="19" t="s">
        <v>65</v>
      </c>
      <c r="B23" s="25">
        <f>B22/Assumptions!B31</f>
        <v>51.14463935776286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107.95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43.56621840741668</v>
      </c>
    </row>
    <row r="29" spans="1:2" x14ac:dyDescent="0.25">
      <c r="A29" s="19" t="s">
        <v>73</v>
      </c>
      <c r="B29" s="12">
        <f>B28/B26-1</f>
        <v>-0.5964222472680252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0.061789</v>
      </c>
      <c r="B5" s="31">
        <v>49.40145447942169</v>
      </c>
      <c r="C5" s="31">
        <v>51.247068525954994</v>
      </c>
      <c r="D5" s="31">
        <v>53.54431151507063</v>
      </c>
      <c r="E5" s="31">
        <v>56.50628968284823</v>
      </c>
      <c r="F5" s="31">
        <v>60.50520907206388</v>
      </c>
    </row>
    <row r="6" spans="1:6" x14ac:dyDescent="0.25">
      <c r="A6" s="30">
        <v>0.071789</v>
      </c>
      <c r="B6" s="31">
        <v>38.32008777922173</v>
      </c>
      <c r="C6" s="31">
        <v>38.922292802080726</v>
      </c>
      <c r="D6" s="31">
        <v>39.6154794098515</v>
      </c>
      <c r="E6" s="31">
        <v>40.43230509071702</v>
      </c>
      <c r="F6" s="31">
        <v>41.42318127462701</v>
      </c>
    </row>
    <row r="7" spans="1:6" x14ac:dyDescent="0.25">
      <c r="A7" s="30">
        <v>0.081789</v>
      </c>
      <c r="B7" s="31">
        <v>30.83437085851372</v>
      </c>
      <c r="C7" s="31">
        <v>30.99665718016208</v>
      </c>
      <c r="D7" s="32">
        <v>31.158943501810448</v>
      </c>
      <c r="E7" s="31">
        <v>31.32122982345883</v>
      </c>
      <c r="F7" s="31">
        <v>31.483516145107192</v>
      </c>
    </row>
    <row r="8" spans="1:6" x14ac:dyDescent="0.25">
      <c r="A8" s="30">
        <v>0.091789</v>
      </c>
      <c r="B8" s="31">
        <v>25.64756865433613</v>
      </c>
      <c r="C8" s="31">
        <v>25.78630922825127</v>
      </c>
      <c r="D8" s="31">
        <v>25.92504980216638</v>
      </c>
      <c r="E8" s="31">
        <v>26.063790376081506</v>
      </c>
      <c r="F8" s="31">
        <v>26.20253094999664</v>
      </c>
    </row>
    <row r="9" spans="1:6" x14ac:dyDescent="0.25">
      <c r="A9" s="30">
        <v>0.101789</v>
      </c>
      <c r="B9" s="31">
        <v>21.467335842860635</v>
      </c>
      <c r="C9" s="31">
        <v>21.587416912371587</v>
      </c>
      <c r="D9" s="31">
        <v>21.707497981882522</v>
      </c>
      <c r="E9" s="31">
        <v>21.827579051393457</v>
      </c>
      <c r="F9" s="31">
        <v>21.947660120904395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26885000000</v>
      </c>
      <c r="C5" s="18">
        <v>25972000000</v>
      </c>
      <c r="D5" s="18">
        <v>29056000000</v>
      </c>
      <c r="E5" s="18">
        <v>37884000000</v>
      </c>
      <c r="F5" s="8" t="s">
        <v>84</v>
      </c>
    </row>
    <row r="6" spans="1:6" x14ac:dyDescent="0.25">
      <c r="A6" t="s">
        <v>44</v>
      </c>
      <c r="B6" s="18">
        <v>3869000000</v>
      </c>
      <c r="C6" s="18">
        <v>2961000000</v>
      </c>
      <c r="D6" s="18">
        <v>3860000000</v>
      </c>
      <c r="E6" s="18">
        <v>10183000000</v>
      </c>
      <c r="F6" s="8" t="s">
        <v>85</v>
      </c>
    </row>
    <row r="7" spans="1:6" x14ac:dyDescent="0.25">
      <c r="A7" t="s">
        <v>86</v>
      </c>
      <c r="B7" s="18">
        <v>2369000000</v>
      </c>
      <c r="C7" s="18">
        <v>2339000000</v>
      </c>
      <c r="D7" s="18">
        <v>2169000000</v>
      </c>
      <c r="E7" s="18">
        <v>2012000000</v>
      </c>
      <c r="F7" s="8" t="s">
        <v>87</v>
      </c>
    </row>
    <row r="8" spans="1:6" x14ac:dyDescent="0.25">
      <c r="A8" t="s">
        <v>88</v>
      </c>
      <c r="B8" s="18">
        <v>2005000000</v>
      </c>
      <c r="C8" s="18">
        <v>2154000000</v>
      </c>
      <c r="D8" s="18">
        <v>2600000000</v>
      </c>
      <c r="E8" s="18">
        <v>2475000000</v>
      </c>
      <c r="F8" s="8" t="s">
        <v>89</v>
      </c>
    </row>
    <row r="9" spans="1:6" x14ac:dyDescent="0.25">
      <c r="A9" t="s">
        <v>90</v>
      </c>
      <c r="B9" s="18">
        <v>783000000</v>
      </c>
      <c r="C9" s="18">
        <v>487000000</v>
      </c>
      <c r="D9" s="18">
        <v>-507000000</v>
      </c>
      <c r="E9" s="18">
        <v>1148000000</v>
      </c>
      <c r="F9" s="8" t="s">
        <v>91</v>
      </c>
    </row>
    <row r="10" spans="1:6" x14ac:dyDescent="0.25">
      <c r="A10" t="s">
        <v>92</v>
      </c>
      <c r="B10" s="18">
        <v>12019000000</v>
      </c>
      <c r="C10" s="18">
        <v>12807000000</v>
      </c>
      <c r="D10" s="18">
        <v>12566000000</v>
      </c>
      <c r="E10" s="18">
        <v>11928000000</v>
      </c>
      <c r="F10" s="8" t="s">
        <v>93</v>
      </c>
    </row>
    <row r="11" spans="1:6" x14ac:dyDescent="0.25">
      <c r="A11" t="s">
        <v>94</v>
      </c>
      <c r="B11" s="18">
        <v>701000000</v>
      </c>
      <c r="C11" s="18">
        <v>853000000</v>
      </c>
      <c r="D11" s="18">
        <v>941000000</v>
      </c>
      <c r="E11" s="18">
        <v>901000000</v>
      </c>
      <c r="F11" s="8" t="s">
        <v>95</v>
      </c>
    </row>
    <row r="12" spans="1:6" x14ac:dyDescent="0.25">
      <c r="A12" t="s">
        <v>32</v>
      </c>
      <c r="B12" s="34">
        <v>486518000</v>
      </c>
      <c r="C12" s="34">
        <v>494365000</v>
      </c>
      <c r="D12" s="34">
        <v>496994000</v>
      </c>
      <c r="E12" s="34">
        <v>540010000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