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<sst xmlns="http://schemas.openxmlformats.org/spreadsheetml/2006/main" count="113" uniqueCount="101">
  <si>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Northern Trust Corporation (NTRS)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</si>
  <si>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</si>
  <si>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</si>
  <si>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</si>
  <si>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</si>
  <si>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</si>
  <si>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</si>
  <si>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</si>
  <si>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</si>
  <si>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</si>
  <si>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</si>
  <si>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</si>
  <si>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</si>
  <si>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</si>
  <si>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</si>
  <si>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</si>
  <si>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</si>
  <si>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</si>
  <si>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</si>
  <si>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</si>
  <si>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</si>
  <si>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</si>
  <si>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45.4%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</si>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</sst>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0.06147673310710999</v>
      </c>
    </row>
    <row r="7" spans="1:2" x14ac:dyDescent="0.25">
      <c r="A7" t="s">
        <v>5</v>
      </c>
      <c r="B7" s="6">
        <v>0.2719001935114931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0.08959399956132374</v>
      </c>
    </row>
    <row r="10" spans="1:2" x14ac:dyDescent="0.25">
      <c r="A10" t="s">
        <v>8</v>
      </c>
      <c r="B10" s="6">
        <v>0.09811077020560298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0.09665970814319903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1.17219</v>
      </c>
      <c r="C19" s="8" t="s">
        <v>19</v>
      </c>
    </row>
    <row r="20" spans="1:2" x14ac:dyDescent="0.25">
      <c r="A20" t="s">
        <v>20</v>
      </c>
      <c r="B20" s="10">
        <f>B17+B19*B18</f>
        <v>0.11445045000000001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32545980416</v>
      </c>
    </row>
    <row r="23" spans="1:2" x14ac:dyDescent="0.25">
      <c r="A23" t="s">
        <v>24</v>
      </c>
      <c r="B23" s="11">
        <v>13994200000</v>
      </c>
    </row>
    <row r="24" spans="1:2" x14ac:dyDescent="0.25">
      <c r="A24" t="s">
        <v>25</v>
      </c>
      <c r="B24" s="10">
        <f>B22/(B22+B23)</f>
        <v>0.6993092876969392</v>
      </c>
    </row>
    <row r="25" spans="1:2" x14ac:dyDescent="0.25">
      <c r="A25" t="s">
        <v>26</v>
      </c>
      <c r="B25" s="10">
        <f>1-B24</f>
        <v>0.30069071230306077</v>
      </c>
    </row>
    <row r="26" spans="1:2" x14ac:dyDescent="0.25">
      <c r="A26" t="s">
        <v>27</v>
      </c>
      <c r="B26" s="12">
        <f>B24*B20+B25*B21*(1-B8)</f>
        <v>0.09665970814319903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8086400000</v>
      </c>
      <c r="C29" s="8" t="s">
        <v>30</v>
      </c>
    </row>
    <row r="30" spans="1:2" x14ac:dyDescent="0.25">
      <c r="A30" t="s">
        <v>31</v>
      </c>
      <c r="B30" s="11">
        <v>-47133200000</v>
      </c>
    </row>
    <row r="31" spans="1:2" x14ac:dyDescent="0.25">
      <c r="A31" t="s">
        <v>32</v>
      </c>
      <c r="B31" s="13">
        <v>192247000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0.06147673310710999</v>
      </c>
      <c r="C5" s="10">
        <f>Assumptions!B6</f>
        <v>0.06147673310710999</v>
      </c>
      <c r="D5" s="10">
        <f>Assumptions!B6</f>
        <v>0.06147673310710999</v>
      </c>
      <c r="E5" s="10">
        <f>Assumptions!B6</f>
        <v>0.06147673310710999</v>
      </c>
      <c r="F5" s="10">
        <f>Assumptions!B6</f>
        <v>0.06147673310710999</v>
      </c>
    </row>
    <row r="6" spans="1:6" x14ac:dyDescent="0.25">
      <c r="A6" t="s">
        <v>43</v>
      </c>
      <c r="B6" s="18">
        <f>Assumptions!B29*(1+B5)</f>
        <v>8583525454.597334</v>
      </c>
      <c r="C6" s="18">
        <f>B6*(1+C5)</f>
        <v>9111212558.0877</v>
      </c>
      <c r="D6" s="18">
        <f>C6*(1+D5)</f>
        <v>9671340140.803406</v>
      </c>
      <c r="E6" s="18">
        <f>D6*(1+E5)</f>
        <v>10265902537.427656</v>
      </c>
      <c r="F6" s="18">
        <f>E6*(1+F5)</f>
        <v>10897016687.8247</v>
      </c>
    </row>
    <row r="7" spans="1:6" x14ac:dyDescent="0.25">
      <c r="A7" t="s">
        <v>5</v>
      </c>
      <c r="B7" s="10">
        <f>Assumptions!B7</f>
        <v>0.2719001935114931</v>
      </c>
      <c r="C7" s="10">
        <f>Assumptions!B7</f>
        <v>0.2719001935114931</v>
      </c>
      <c r="D7" s="10">
        <f>Assumptions!B7</f>
        <v>0.2719001935114931</v>
      </c>
      <c r="E7" s="10">
        <f>Assumptions!B7</f>
        <v>0.2719001935114931</v>
      </c>
      <c r="F7" s="10">
        <f>Assumptions!B7</f>
        <v>0.2719001935114931</v>
      </c>
    </row>
    <row r="8" spans="1:6" x14ac:dyDescent="0.25">
      <c r="A8" t="s">
        <v>44</v>
      </c>
      <c r="B8" s="18">
        <f>B6*B7</f>
        <v>2333862232.115842</v>
      </c>
      <c r="C8" s="18">
        <f>C6*C7</f>
        <v>2477340457.6683917</v>
      </c>
      <c r="D8" s="18">
        <f>D6*D7</f>
        <v>2629639255.7999167</v>
      </c>
      <c r="E8" s="18">
        <f>E6*E7</f>
        <v>2791300886.4967074</v>
      </c>
      <c r="F8" s="18">
        <f>F6*F7</f>
        <v>2962900946.117505</v>
      </c>
    </row>
    <row r="9" spans="1:6" x14ac:dyDescent="0.25">
      <c r="A9" t="s">
        <v>45</v>
      </c>
      <c r="B9" s="18">
        <f>B8*(1-Assumptions!B8)</f>
        <v>1843751163.3715153</v>
      </c>
      <c r="C9" s="18">
        <f>C8*(1-Assumptions!B8)</f>
        <v>1957098961.5580297</v>
      </c>
      <c r="D9" s="18">
        <f>D8*(1-Assumptions!B8)</f>
        <v>2077415012.0819342</v>
      </c>
      <c r="E9" s="18">
        <f>E8*(1-Assumptions!B8)</f>
        <v>2205127700.332399</v>
      </c>
      <c r="F9" s="18">
        <f>F8*(1-Assumptions!B8)</f>
        <v>2340691747.432829</v>
      </c>
    </row>
    <row r="10" spans="1:6" x14ac:dyDescent="0.25">
      <c r="A10" t="s">
        <v>46</v>
      </c>
      <c r="B10" s="18">
        <f>B6*Assumptions!B9</f>
        <v>769032375.8138047</v>
      </c>
      <c r="C10" s="18">
        <f>C6*Assumptions!B9</f>
        <v>816309973.9324368</v>
      </c>
      <c r="D10" s="18">
        <f>D6*Assumptions!B9</f>
        <v>866494044.332553</v>
      </c>
      <c r="E10" s="18">
        <f>E6*Assumptions!B9</f>
        <v>919763267.4348857</v>
      </c>
      <c r="F10" s="18">
        <f>F6*Assumptions!B9</f>
        <v>976307308.3487036</v>
      </c>
    </row>
    <row r="11" spans="1:6" x14ac:dyDescent="0.25">
      <c r="A11" t="s">
        <v>47</v>
      </c>
      <c r="B11" s="18">
        <f>-B6*Assumptions!B10</f>
        <v>-842136293.4299428</v>
      </c>
      <c r="C11" s="18">
        <f>-C6*Assumptions!B10</f>
        <v>-893908081.5809464</v>
      </c>
      <c r="D11" s="18">
        <f>-D6*Assumptions!B10</f>
        <v>-948862630.1345869</v>
      </c>
      <c r="E11" s="18">
        <f>-E6*Assumptions!B10</f>
        <v>-1007195604.8026813</v>
      </c>
      <c r="F11" s="18">
        <f>-F6*Assumptions!B10</f>
        <v>-1069114700.18579</v>
      </c>
    </row>
    <row r="12" spans="1:6" x14ac:dyDescent="0.25">
      <c r="A12" t="s">
        <v>48</v>
      </c>
      <c r="B12" s="18">
        <f>-(B6-Assumptions!B29)*Assumptions!B11</f>
        <v>-497125454.5973339</v>
      </c>
      <c r="C12" s="18">
        <f>-(C6-B6)*Assumptions!B11</f>
        <v>-527687103.490366</v>
      </c>
      <c r="D12" s="18">
        <f>-(D6-C6)*Assumptions!B11</f>
        <v>-560127582.7157059</v>
      </c>
      <c r="E12" s="18">
        <f>-(E6-D6)*Assumptions!B11</f>
        <v>-594562396.6242504</v>
      </c>
      <c r="F12" s="18">
        <f>-(F6-E6)*Assumptions!B11</f>
        <v>-631114150.3970432</v>
      </c>
    </row>
    <row r="13" spans="1:6" x14ac:dyDescent="0.25">
      <c r="A13" s="19" t="s">
        <v>49</v>
      </c>
      <c r="B13" s="20">
        <f>B9+B10+B11+B12</f>
        <v>1273521791.1580431</v>
      </c>
      <c r="C13" s="20">
        <f>C9+C10+C11+C12</f>
        <v>1351813750.4191542</v>
      </c>
      <c r="D13" s="20">
        <f>D9+D10+D11+D12</f>
        <v>1434918843.5641947</v>
      </c>
      <c r="E13" s="20">
        <f>E9+E10+E11+E12</f>
        <v>1523132966.3403525</v>
      </c>
      <c r="F13" s="20">
        <f>F9+F10+F11+F12</f>
        <v>1616770205.198699</v>
      </c>
    </row>
    <row r="14" spans="1:6" x14ac:dyDescent="0.25">
      <c r="A14" t="s">
        <v>50</v>
      </c>
      <c r="B14" s="21">
        <f>1/(1+Assumptions!$B$26)^(1-0.5*Assumptions!$B$32)</f>
        <v>0.9549135506624135</v>
      </c>
      <c r="C14" s="21">
        <f>1/(1+Assumptions!$B$26)^(2-0.5*Assumptions!$B$32)</f>
        <v>0.8707473645395598</v>
      </c>
      <c r="D14" s="21">
        <f>1/(1+Assumptions!$B$26)^(3-0.5*Assumptions!$B$32)</f>
        <v>0.793999595383931</v>
      </c>
      <c r="E14" s="21">
        <f>1/(1+Assumptions!$B$26)^(4-0.5*Assumptions!$B$32)</f>
        <v>0.7240163831023622</v>
      </c>
      <c r="F14" s="21">
        <f>1/(1+Assumptions!$B$26)^(5-0.5*Assumptions!$B$32)</f>
        <v>0.6602014989027225</v>
      </c>
    </row>
    <row r="15" spans="1:6" x14ac:dyDescent="0.25">
      <c r="A15" s="19" t="s">
        <v>51</v>
      </c>
      <c r="B15" s="20">
        <f>B13*B14</f>
        <v>1216103215.4406836</v>
      </c>
      <c r="C15" s="20">
        <f>C13*C14</f>
        <v>1177088260.5258167</v>
      </c>
      <c r="D15" s="20">
        <f>D13*D14</f>
        <v>1139324981.1987486</v>
      </c>
      <c r="E15" s="20">
        <f>E13*E14</f>
        <v>1102773221.273714</v>
      </c>
      <c r="F15" s="20">
        <f>F13*F14</f>
        <v>1067394112.8534433</v>
      </c>
    </row>
    <row r="17" spans="1:2" x14ac:dyDescent="0.25">
      <c r="A17" s="22" t="s">
        <v>52</v>
      </c>
      <c r="B17" s="23">
        <f>SUM(B15:F15)</f>
        <v>5702683791.292406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1616770205.198699</v>
      </c>
    </row>
    <row r="5" spans="1:2" x14ac:dyDescent="0.25">
      <c r="A5" t="s">
        <v>56</v>
      </c>
      <c r="B5" s="18">
        <f>IF(Assumptions!$B$33=0,B4,B4-Forecast!F11-Forecast!F10-Forecast!F12)</f>
        <v>2340691747.432829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0.25863930773475025</v>
      </c>
    </row>
    <row r="7" spans="1:2" x14ac:dyDescent="0.25">
      <c r="A7" t="s">
        <v>58</v>
      </c>
      <c r="B7" s="18">
        <f>-MAX(Forecast!F9,0)*B6</f>
        <v>-605394893.1764697</v>
      </c>
    </row>
    <row r="8" spans="1:2" x14ac:dyDescent="0.25">
      <c r="A8" t="s">
        <v>59</v>
      </c>
      <c r="B8" s="18">
        <f>IF(OR(Assumptions!$B$33=0,Assumptions!B12&lt;=0),B5,MAX(B5+B7,0))</f>
        <v>1735296854.256359</v>
      </c>
    </row>
    <row r="9" spans="1:2" x14ac:dyDescent="0.25">
      <c r="A9" t="s">
        <v>60</v>
      </c>
      <c r="B9" s="18">
        <f>B8*(1+Assumptions!B12)/(Assumptions!B26-Assumptions!B12)</f>
        <v>24821190620.23526</v>
      </c>
    </row>
    <row r="10" spans="1:2" x14ac:dyDescent="0.25">
      <c r="A10" t="s">
        <v>61</v>
      </c>
      <c r="B10" s="18">
        <f>B9/(1+Assumptions!B26)^(5-0.5*Assumptions!B32)</f>
        <v>16386987252.029514</v>
      </c>
    </row>
    <row r="11" spans="1:2" x14ac:dyDescent="0.25">
      <c r="A11" t="s">
        <v>62</v>
      </c>
      <c r="B11" s="18">
        <f>Forecast!B17+B10</f>
        <v>22089671043.321922</v>
      </c>
    </row>
    <row r="12" spans="1:2" x14ac:dyDescent="0.25">
      <c r="A12" t="s">
        <v>63</v>
      </c>
      <c r="B12" s="18">
        <f>-Assumptions!B30</f>
        <v>47133200000.00001</v>
      </c>
    </row>
    <row r="13" spans="1:2" x14ac:dyDescent="0.25">
      <c r="A13" t="s">
        <v>64</v>
      </c>
      <c r="B13" s="18">
        <f>B11+B12</f>
        <v>69222871043.32193</v>
      </c>
    </row>
    <row r="14" spans="1:2" x14ac:dyDescent="0.25">
      <c r="A14" s="19" t="s">
        <v>65</v>
      </c>
      <c r="B14" s="24">
        <f>B13/Assumptions!B31</f>
        <v>360.0725683278383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3939208254.4662085</v>
      </c>
    </row>
    <row r="18" spans="1:2" x14ac:dyDescent="0.25">
      <c r="A18" t="s">
        <v>60</v>
      </c>
      <c r="B18" s="18">
        <f>B17*Assumptions!B13</f>
        <v>31513666035.729668</v>
      </c>
    </row>
    <row r="19" spans="1:2" x14ac:dyDescent="0.25">
      <c r="A19" t="s">
        <v>61</v>
      </c>
      <c r="B19" s="18">
        <f>B18/(1+Assumptions!B26)^(5-0.5*Assumptions!B32)</f>
        <v>20805369552.70854</v>
      </c>
    </row>
    <row r="20" spans="1:2" x14ac:dyDescent="0.25">
      <c r="A20" t="s">
        <v>62</v>
      </c>
      <c r="B20" s="18">
        <f>Forecast!B17+B19</f>
        <v>26508053344.000946</v>
      </c>
    </row>
    <row r="21" spans="1:2" x14ac:dyDescent="0.25">
      <c r="A21" t="s">
        <v>63</v>
      </c>
      <c r="B21" s="18">
        <f>-Assumptions!B30</f>
        <v>47133200000</v>
      </c>
    </row>
    <row r="22" spans="1:2" x14ac:dyDescent="0.25">
      <c r="A22" t="s">
        <v>64</v>
      </c>
      <c r="B22" s="18">
        <f>B20+B21</f>
        <v>73641253344.00095</v>
      </c>
    </row>
    <row r="23" spans="1:2" x14ac:dyDescent="0.25">
      <c r="A23" s="19" t="s">
        <v>65</v>
      </c>
      <c r="B23" s="25">
        <f>B22/Assumptions!B31</f>
        <v>383.0554096760987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177.89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360.0725683278383</v>
      </c>
    </row>
    <row r="29" spans="1:2" x14ac:dyDescent="0.25">
      <c r="A29" s="19" t="s">
        <v>73</v>
      </c>
      <c r="B29" s="12">
        <f>B28/B26-1</f>
        <v>1.0241304644883824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0.07666</v>
      </c>
      <c r="B5" s="31">
        <v>391.8221364733666</v>
      </c>
      <c r="C5" s="31">
        <v>392.3916869751836</v>
      </c>
      <c r="D5" s="31">
        <v>392.9612374770006</v>
      </c>
      <c r="E5" s="31">
        <v>393.53078797881756</v>
      </c>
      <c r="F5" s="31">
        <v>394.1003384806345</v>
      </c>
    </row>
    <row r="6" spans="1:6" x14ac:dyDescent="0.25">
      <c r="A6" s="30">
        <v>0.08666</v>
      </c>
      <c r="B6" s="31">
        <v>373.61425861348636</v>
      </c>
      <c r="C6" s="31">
        <v>374.09755595686437</v>
      </c>
      <c r="D6" s="31">
        <v>374.5808533002423</v>
      </c>
      <c r="E6" s="31">
        <v>375.0641506436203</v>
      </c>
      <c r="F6" s="31">
        <v>375.5474479869983</v>
      </c>
    </row>
    <row r="7" spans="1:6" x14ac:dyDescent="0.25">
      <c r="A7" s="30">
        <v>0.09666</v>
      </c>
      <c r="B7" s="31">
        <v>359.24059086406277</v>
      </c>
      <c r="C7" s="31">
        <v>359.65639025800726</v>
      </c>
      <c r="D7" s="32">
        <v>360.07218965195176</v>
      </c>
      <c r="E7" s="31">
        <v>360.48798904589626</v>
      </c>
      <c r="F7" s="31">
        <v>360.90378843984075</v>
      </c>
    </row>
    <row r="8" spans="1:6" x14ac:dyDescent="0.25">
      <c r="A8" s="30">
        <v>0.10666</v>
      </c>
      <c r="B8" s="31">
        <v>347.61925648701373</v>
      </c>
      <c r="C8" s="31">
        <v>347.9809903116228</v>
      </c>
      <c r="D8" s="31">
        <v>348.3427241362319</v>
      </c>
      <c r="E8" s="31">
        <v>348.70445796084095</v>
      </c>
      <c r="F8" s="31">
        <v>349.06619178545003</v>
      </c>
    </row>
    <row r="9" spans="1:6" x14ac:dyDescent="0.25">
      <c r="A9" s="30">
        <v>0.11666</v>
      </c>
      <c r="B9" s="31">
        <v>338.0395332457752</v>
      </c>
      <c r="C9" s="31">
        <v>338.35713900355125</v>
      </c>
      <c r="D9" s="31">
        <v>338.67474476132725</v>
      </c>
      <c r="E9" s="31">
        <v>338.9923505191033</v>
      </c>
      <c r="F9" s="31">
        <v>339.30995627687935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8086400000</v>
      </c>
      <c r="C5" s="18">
        <v>8290400000</v>
      </c>
      <c r="D5" s="18">
        <v>6773500000</v>
      </c>
      <c r="E5" s="18">
        <v>6761200000</v>
      </c>
      <c r="F5" s="8" t="s">
        <v>84</v>
      </c>
    </row>
    <row r="6" spans="1:6" x14ac:dyDescent="0.25">
      <c r="A6" t="s">
        <v>44</v>
      </c>
      <c r="B6" s="18">
        <v>2339500000</v>
      </c>
      <c r="C6" s="18">
        <v>2659500000</v>
      </c>
      <c r="D6" s="18">
        <v>1464800000</v>
      </c>
      <c r="E6" s="18">
        <v>1766300000</v>
      </c>
      <c r="F6" s="8" t="s">
        <v>85</v>
      </c>
    </row>
    <row r="7" spans="1:6" x14ac:dyDescent="0.25">
      <c r="A7" t="s">
        <v>86</v>
      </c>
      <c r="B7" s="18">
        <v>779100000</v>
      </c>
      <c r="C7" s="18">
        <v>716800000</v>
      </c>
      <c r="D7" s="18">
        <v>634600000</v>
      </c>
      <c r="E7" s="18">
        <v>553600000</v>
      </c>
      <c r="F7" s="8" t="s">
        <v>87</v>
      </c>
    </row>
    <row r="8" spans="1:6" x14ac:dyDescent="0.25">
      <c r="A8" t="s">
        <v>88</v>
      </c>
      <c r="B8" s="18">
        <v>774200000</v>
      </c>
      <c r="C8" s="18">
        <v>745500000</v>
      </c>
      <c r="D8" s="18">
        <v>675800000</v>
      </c>
      <c r="E8" s="18">
        <v>723500000</v>
      </c>
      <c r="F8" s="8" t="s">
        <v>89</v>
      </c>
    </row>
    <row r="9" spans="1:6" x14ac:dyDescent="0.25">
      <c r="A9" t="s">
        <v>90</v>
      </c>
      <c r="B9" s="18">
        <v>-2713900000</v>
      </c>
      <c r="C9" s="18">
        <v>3152200000</v>
      </c>
      <c r="D9" s="18">
        <v>19200000</v>
      </c>
      <c r="E9" s="18">
        <v>-931200000</v>
      </c>
      <c r="F9" s="8" t="s">
        <v>91</v>
      </c>
    </row>
    <row r="10" spans="1:6" x14ac:dyDescent="0.25">
      <c r="A10" t="s">
        <v>92</v>
      </c>
      <c r="B10" s="18">
        <v>13994200000</v>
      </c>
      <c r="C10" s="18">
        <v>13372000000</v>
      </c>
      <c r="D10" s="18">
        <v>13406000000</v>
      </c>
      <c r="E10" s="18">
        <v>12382700000</v>
      </c>
      <c r="F10" s="8" t="s">
        <v>93</v>
      </c>
    </row>
    <row r="11" spans="1:6" x14ac:dyDescent="0.25">
      <c r="A11" t="s">
        <v>94</v>
      </c>
      <c r="B11" s="18">
        <v>61127400000</v>
      </c>
      <c r="C11" s="18">
        <v>45397300000</v>
      </c>
      <c r="D11" s="18">
        <v>41056700000</v>
      </c>
      <c r="E11" s="18">
        <v>46625700000</v>
      </c>
      <c r="F11" s="8" t="s">
        <v>95</v>
      </c>
    </row>
    <row r="12" spans="1:6" x14ac:dyDescent="0.25">
      <c r="A12" t="s">
        <v>32</v>
      </c>
      <c r="B12" s="34">
        <v>192247000</v>
      </c>
      <c r="C12" s="34">
        <v>201870000</v>
      </c>
      <c r="D12" s="34">
        <v>207564000</v>
      </c>
      <c r="E12" s="34">
        <v>208867000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2026-09-19T01:06:37Z</dcterms:modified>
</cp:coreProperties>
</file>