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<sst xmlns="http://schemas.openxmlformats.org/spreadsheetml/2006/main" count="70" uniqueCount="67">
  <si>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Northern Trust Corporation (NTRS)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</si>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</sst>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1.14338</v>
      </c>
    </row>
    <row r="9" spans="1:2" x14ac:dyDescent="0.25">
      <c r="A9" t="s">
        <v>8</v>
      </c>
      <c r="B9" s="8">
        <f>B6+B8*B7</f>
        <v>0.097304974</v>
      </c>
    </row>
    <row r="10" spans="1:2" x14ac:dyDescent="0.25">
      <c r="A10" t="s">
        <v>9</v>
      </c>
      <c r="B10" s="8">
        <f>MEDIAN('Source data'!B9:E9)</f>
        <v>0.14106775318183729</v>
      </c>
    </row>
    <row r="11" spans="1:2" x14ac:dyDescent="0.25">
      <c r="A11" t="s">
        <v>10</v>
      </c>
      <c r="B11" s="8">
        <f>IFERROR(MIN(MAX(MEDIAN('Source data'!B10:E10),0),1),0)</f>
        <v>0.37720343020485947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12073000000</v>
      </c>
    </row>
    <row r="15" spans="1:2" x14ac:dyDescent="0.25">
      <c r="A15" t="s">
        <v>14</v>
      </c>
      <c r="B15" s="10">
        <f>'Source data'!B8</f>
        <v>192247000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0.08785651279035578</v>
      </c>
    </row>
    <row r="18" spans="1:2" x14ac:dyDescent="0.25">
      <c r="A18" t="s">
        <v>17</v>
      </c>
      <c r="B18" s="8">
        <f>MIN(B10,B12)</f>
        <v>0.14106775318183729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0.14106775318183729</v>
      </c>
      <c r="C22" s="8">
        <f>$B$10+($B$18-$B$10)*C21/$B$16</f>
        <v>0.14106775318183729</v>
      </c>
      <c r="D22" s="8">
        <f>$B$10+($B$18-$B$10)*D21/$B$16</f>
        <v>0.14106775318183729</v>
      </c>
      <c r="E22" s="8">
        <f>$B$10+($B$18-$B$10)*E21/$B$16</f>
        <v>0.14106775318183729</v>
      </c>
      <c r="F22" s="8">
        <f>$B$10+($B$18-$B$10)*F21/$B$16</f>
        <v>0.14106775318183729</v>
      </c>
      <c r="G22" s="8">
        <f>$B$10+($B$18-$B$10)*G21/$B$16</f>
        <v>0.14106775318183729</v>
      </c>
      <c r="H22" s="8">
        <f>$B$10+($B$18-$B$10)*H21/$B$16</f>
        <v>0.14106775318183729</v>
      </c>
      <c r="I22" s="8">
        <f>$B$10+($B$18-$B$10)*I21/$B$16</f>
        <v>0.14106775318183729</v>
      </c>
      <c r="J22" s="8">
        <f>$B$10+($B$18-$B$10)*J21/$B$16</f>
        <v>0.14106775318183729</v>
      </c>
      <c r="K22" s="8">
        <f>$B$10+($B$18-$B$10)*K21/$B$16</f>
        <v>0.14106775318183729</v>
      </c>
    </row>
    <row r="23" spans="1:11" x14ac:dyDescent="0.25">
      <c r="A23" t="s">
        <v>31</v>
      </c>
      <c r="B23" s="8">
        <f>$B$17+($B$13-$B$17)*B21/$B$16</f>
        <v>0.0815708615113202</v>
      </c>
      <c r="C23" s="8">
        <f>$B$17+($B$13-$B$17)*C21/$B$16</f>
        <v>0.07528521023228463</v>
      </c>
      <c r="D23" s="8">
        <f>$B$17+($B$13-$B$17)*D21/$B$16</f>
        <v>0.06899955895324905</v>
      </c>
      <c r="E23" s="8">
        <f>$B$17+($B$13-$B$17)*E21/$B$16</f>
        <v>0.06271390767421346</v>
      </c>
      <c r="F23" s="8">
        <f>$B$17+($B$13-$B$17)*F21/$B$16</f>
        <v>0.056428256395177886</v>
      </c>
      <c r="G23" s="8">
        <f>$B$17+($B$13-$B$17)*G21/$B$16</f>
        <v>0.05014260511614231</v>
      </c>
      <c r="H23" s="8">
        <f>$B$17+($B$13-$B$17)*H21/$B$16</f>
        <v>0.043856953837106735</v>
      </c>
      <c r="I23" s="8">
        <f>$B$17+($B$13-$B$17)*I21/$B$16</f>
        <v>0.037571302558071146</v>
      </c>
      <c r="J23" s="8">
        <f>$B$17+($B$13-$B$17)*J21/$B$16</f>
        <v>0.03128565127903557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12073000000</v>
      </c>
      <c r="C24" s="9">
        <f>B24*(1+B23)</f>
        <v>13057805011.026169</v>
      </c>
      <c r="D24" s="9">
        <f>C24*(1+C23)</f>
        <v>14040864606.453455</v>
      </c>
      <c r="E24" s="9">
        <f>D24*(1+D23)</f>
        <v>15009678071.621029</v>
      </c>
      <c r="F24" s="9">
        <f>E24*(1+E23)</f>
        <v>15950993636.424337</v>
      </c>
      <c r="G24" s="9">
        <f>F24*(1+F23)</f>
        <v>16851080395.098341</v>
      </c>
      <c r="H24" s="9">
        <f>G24*(1+G23)</f>
        <v>17696037465.130127</v>
      </c>
      <c r="I24" s="9">
        <f>H24*(1+H23)</f>
        <v>18472131763.33805</v>
      </c>
      <c r="J24" s="9">
        <f>I24*(1+I23)</f>
        <v>19166153814.710983</v>
      </c>
      <c r="K24" s="9">
        <f>J24*(1+J23)</f>
        <v>19765779419.31839</v>
      </c>
    </row>
    <row r="25" spans="1:11" x14ac:dyDescent="0.25">
      <c r="A25" t="s">
        <v>33</v>
      </c>
      <c r="B25" s="9">
        <f>(B22-$B$9)*B24</f>
        <v>528348033.06232154</v>
      </c>
      <c r="C25" s="9">
        <f>(C22-$B$9)*C24</f>
        <v>571445837.2970265</v>
      </c>
      <c r="D25" s="9">
        <f>(D22-$B$9)*D24</f>
        <v>614467257.2942972</v>
      </c>
      <c r="E25" s="9">
        <f>(E22-$B$9)*E24</f>
        <v>656865227.0388163</v>
      </c>
      <c r="F25" s="9">
        <f>(F22-$B$9)*F24</f>
        <v>698059812.24173</v>
      </c>
      <c r="G25" s="9">
        <f>(G22-$B$9)*G24</f>
        <v>737450110.306076</v>
      </c>
      <c r="H25" s="9">
        <f>(H22-$B$9)*H24</f>
        <v>774427779.9800093</v>
      </c>
      <c r="I25" s="9">
        <f>(I22-$B$9)*I24</f>
        <v>808391823.3767657</v>
      </c>
      <c r="J25" s="9">
        <f>(J22-$B$9)*J24</f>
        <v>838764157.1583251</v>
      </c>
      <c r="K25" s="9">
        <f>(K22-$B$9)*K24</f>
        <v>865005440.0845346</v>
      </c>
    </row>
    <row r="26" spans="1:11" x14ac:dyDescent="0.25">
      <c r="A26" t="s">
        <v>34</v>
      </c>
      <c r="B26" s="14">
        <f>1/(1+$B$9)^B21</f>
        <v>0.9113236736316844</v>
      </c>
      <c r="C26" s="14">
        <f>1/(1+$B$9)^C21</f>
        <v>0.8305108381215489</v>
      </c>
      <c r="D26" s="14">
        <f>1/(1+$B$9)^D21</f>
        <v>0.756864187987859</v>
      </c>
      <c r="E26" s="14">
        <f>1/(1+$B$9)^E21</f>
        <v>0.6897482522373575</v>
      </c>
      <c r="F26" s="14">
        <f>1/(1+$B$9)^F21</f>
        <v>0.6285839111099824</v>
      </c>
      <c r="G26" s="14">
        <f>1/(1+$B$9)^G21</f>
        <v>0.5728433990585212</v>
      </c>
      <c r="H26" s="14">
        <f>1/(1+$B$9)^H21</f>
        <v>0.5220457508456726</v>
      </c>
      <c r="I26" s="14">
        <f>1/(1+$B$9)^I21</f>
        <v>0.47575265146448936</v>
      </c>
      <c r="J26" s="14">
        <f>1/(1+$B$9)^J21</f>
        <v>0.43356465407263284</v>
      </c>
      <c r="K26" s="14">
        <f>1/(1+$B$9)^K21</f>
        <v>0.3951177333063222</v>
      </c>
    </row>
    <row r="27" spans="1:11" x14ac:dyDescent="0.25">
      <c r="A27" s="15" t="s">
        <v>35</v>
      </c>
      <c r="B27" s="16">
        <f>B25*B26</f>
        <v>481496070.44642955</v>
      </c>
      <c r="C27" s="16">
        <f>C25*C26</f>
        <v>474591961.27462375</v>
      </c>
      <c r="D27" s="16">
        <f>D25*D26</f>
        <v>465068261.7371751</v>
      </c>
      <c r="E27" s="16">
        <f>E25*E26</f>
        <v>453071642.3055186</v>
      </c>
      <c r="F27" s="16">
        <f>F25*F26</f>
        <v>438789166.96760654</v>
      </c>
      <c r="G27" s="16">
        <f>G25*G26</f>
        <v>422443427.82381403</v>
      </c>
      <c r="H27" s="16">
        <f>H25*H26</f>
        <v>404286731.87541133</v>
      </c>
      <c r="I27" s="16">
        <f>I25*I26</f>
        <v>384594553.3937095</v>
      </c>
      <c r="J27" s="16">
        <f>J25*J26</f>
        <v>363658491.64687264</v>
      </c>
      <c r="K27" s="16">
        <f>K25*K26</f>
        <v>341778988.78383905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12073000000</v>
      </c>
    </row>
    <row r="31" spans="1:2" x14ac:dyDescent="0.25">
      <c r="A31" t="s">
        <v>38</v>
      </c>
      <c r="B31" s="9">
        <f>SUM(B27:K27)</f>
        <v>4229779296.2550006</v>
      </c>
    </row>
    <row r="32" spans="1:2" x14ac:dyDescent="0.25">
      <c r="A32" t="s">
        <v>39</v>
      </c>
      <c r="B32" s="9">
        <f>K24*(1+K23)</f>
        <v>20259923904.80135</v>
      </c>
    </row>
    <row r="33" spans="1:2" x14ac:dyDescent="0.25">
      <c r="A33" t="s">
        <v>40</v>
      </c>
      <c r="B33" s="9">
        <f>(B18-B9)*B32</f>
        <v>886630576.0866482</v>
      </c>
    </row>
    <row r="34" spans="1:2" x14ac:dyDescent="0.25">
      <c r="A34" t="s">
        <v>41</v>
      </c>
      <c r="B34" s="9">
        <f>B33/(B9-B13)</f>
        <v>12262373209.43713</v>
      </c>
    </row>
    <row r="35" spans="1:2" x14ac:dyDescent="0.25">
      <c r="A35" t="s">
        <v>42</v>
      </c>
      <c r="B35" s="9">
        <f>B34*K26</f>
        <v>4845081107.46897</v>
      </c>
    </row>
    <row r="36" spans="1:2" x14ac:dyDescent="0.25">
      <c r="A36" s="15" t="s">
        <v>43</v>
      </c>
      <c r="B36" s="16">
        <f>B30+B31+B35</f>
        <v>21147860403.723972</v>
      </c>
    </row>
    <row r="37" spans="1:2" x14ac:dyDescent="0.25">
      <c r="A37" s="15" t="s">
        <v>44</v>
      </c>
      <c r="B37" s="17">
        <f>B36/B15</f>
        <v>110.00359123275771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170.66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110.00359123275771</v>
      </c>
    </row>
    <row r="43" spans="1:2" x14ac:dyDescent="0.25">
      <c r="A43" s="15" t="s">
        <v>48</v>
      </c>
      <c r="B43" s="21">
        <f>B42/B40-1</f>
        <v>-0.355422528813092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1679200000</v>
      </c>
      <c r="C5" s="9">
        <v>1972400000</v>
      </c>
      <c r="D5" s="9">
        <v>1053900000</v>
      </c>
      <c r="E5" s="9">
        <v>1282400000</v>
      </c>
      <c r="F5" s="6" t="s">
        <v>57</v>
      </c>
    </row>
    <row r="6" spans="1:6" x14ac:dyDescent="0.25">
      <c r="A6" t="s">
        <v>37</v>
      </c>
      <c r="B6" s="9">
        <v>12073000000</v>
      </c>
      <c r="C6" s="9">
        <v>11903500000</v>
      </c>
      <c r="D6" s="9">
        <v>11013000000</v>
      </c>
      <c r="E6" s="9">
        <v>10374600000</v>
      </c>
      <c r="F6" s="6" t="s">
        <v>58</v>
      </c>
    </row>
    <row r="7" spans="1:6" x14ac:dyDescent="0.25">
      <c r="A7" t="s">
        <v>59</v>
      </c>
      <c r="B7" s="9">
        <v>633400000</v>
      </c>
      <c r="C7" s="9">
        <v>644100000</v>
      </c>
      <c r="D7" s="9">
        <v>663300000</v>
      </c>
      <c r="E7" s="9">
        <v>796700000</v>
      </c>
      <c r="F7" s="6" t="s">
        <v>60</v>
      </c>
    </row>
    <row r="8" spans="1:6" x14ac:dyDescent="0.25">
      <c r="A8" t="s">
        <v>14</v>
      </c>
      <c r="B8" s="10">
        <v>192247000</v>
      </c>
      <c r="C8" s="10">
        <v>201870000</v>
      </c>
      <c r="D8" s="10">
        <v>207564000</v>
      </c>
      <c r="E8" s="10">
        <v>208867000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0.14106775318183729</v>
      </c>
      <c r="C9" s="8">
        <f>IF(AND(ISNUMBER(C5),N(D6)&gt;0),C5/D6,"")</f>
        <v>0.17909743030963407</v>
      </c>
      <c r="D9" s="8">
        <f>IF(AND(ISNUMBER(D5),N(E6)&gt;0),D5/E6,"")</f>
        <v>0.1015846394077844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0.37720343020485947</v>
      </c>
      <c r="C10" s="8">
        <f>IF(AND(ISNUMBER(C9),N(C5)&gt;0,ISNUMBER(C7)),C7/C5,"")</f>
        <v>0.32655647941593996</v>
      </c>
      <c r="D10" s="8">
        <f>IF(AND(ISNUMBER(D9),N(D5)&gt;0,ISNUMBER(D7)),D7/D5,"")</f>
        <v>0.6293766011955594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