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<sst xmlns="http://schemas.openxmlformats.org/spreadsheetml/2006/main" count="120" uniqueCount="107">
  <si>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Nucor Corporation (NUE)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</si>
  <si>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</si>
  <si>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</si>
  <si>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</si>
  <si>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</si>
  <si>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</si>
  <si>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</si>
  <si>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</si>
  <si>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</si>
  <si>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</si>
  <si>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</si>
  <si>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</si>
  <si>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</si>
  <si>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</si>
  <si>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</si>
  <si>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</si>
  <si>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</si>
  <si>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</si>
  <si>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</si>
  <si>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</si>
  <si>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</si>
  <si>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</si>
  <si>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</si>
  <si>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</si>
  <si>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15.6x interest cover. Book interest / average debt was lower, at 2.4%.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</si>
  <si>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</si>
  <si>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</si>
  <si>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</si>
  <si>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</si>
  <si>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</si>
  <si>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</si>
  <si>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</si>
  <si>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</si>
  <si>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</si>
  <si>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</si>
  <si>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</si>
  <si>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</si>
  <si>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</si>
  <si>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</si>
  <si>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</si>
  <si>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</si>
  <si>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</si>
  <si>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</si>
  <si>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</si>
  <si>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</si>
  <si>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</si>
  <si>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</si>
  <si>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</si>
  <si>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</si>
  <si>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</si>
  <si>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</si>
  <si>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</si>
  <si>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</si>
  <si>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</si>
  <si>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</si>
  <si>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</si>
  <si>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</si>
  <si>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</si>
  <si>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</si>
  <si>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</si>
  <si>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</si>
  <si>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</si>
  <si>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</si>
  <si>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</si>
  <si>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</si>
  <si>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</si>
  <si>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</si>
  <si>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</si>
  <si>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</si>
  <si>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</si>
  <si>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</si>
  <si>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</si>
  <si>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</si>
  <si>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</si>
  <si>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</si>
  <si>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</si>
  <si>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</si>
  <si>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</si>
  <si>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</si>
  <si>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</si>
  <si>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</si>
  <si>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</si>
  <si>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</si>
  <si>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</si>
  <si>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</si>
  <si>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</si>
  <si>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</si>
  <si>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</si>
  <si>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</si>
  <si>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</si>
  <si>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</si>
  <si>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</si>
  <si>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</si>
  <si>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</si>
  <si>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</si>
  <si>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</si>
  <si>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</si>
  <si>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</si>
  <si>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</si>
  <si>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</si>
  <si>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</si>
  <si>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</si>
  <si>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</si>
  <si>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</si>
  <si>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</si>
  <si>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8.0% of revenue against depreciation of 3.7%.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</si>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</sst>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0.2763861460577337</v>
      </c>
    </row>
    <row r="7" spans="1:2" x14ac:dyDescent="0.25">
      <c r="A7" t="s">
        <v>4</v>
      </c>
      <c r="B7" s="5">
        <v>0.15282722957838418</v>
      </c>
    </row>
    <row r="8" spans="1:2" x14ac:dyDescent="0.25">
      <c r="A8" t="s">
        <v>5</v>
      </c>
      <c r="B8" s="5">
        <v>0.2089032489064645</v>
      </c>
    </row>
    <row r="9" spans="1:2" x14ac:dyDescent="0.25">
      <c r="A9" t="s">
        <v>6</v>
      </c>
      <c r="B9" s="5">
        <v>0.03723138160700491</v>
      </c>
    </row>
    <row r="10" spans="1:3" x14ac:dyDescent="0.25">
      <c r="A10" t="s">
        <v>7</v>
      </c>
      <c r="B10" s="5">
        <v>0.07981423829864744</v>
      </c>
      <c r="C10" s="6" t="s">
        <v>8</v>
      </c>
    </row>
    <row r="11" spans="1:2" x14ac:dyDescent="0.25">
      <c r="A11" t="s">
        <v>9</v>
      </c>
      <c r="B11" s="5">
        <v>0.19056267271275365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16.080318902150278</v>
      </c>
    </row>
    <row r="14" spans="1:3" x14ac:dyDescent="0.25">
      <c r="A14" t="s">
        <v>12</v>
      </c>
      <c r="B14" s="5">
        <v>0.13290967037113244</v>
      </c>
      <c r="C14" s="6" t="s">
        <v>13</v>
      </c>
    </row>
    <row r="15" spans="1:3" x14ac:dyDescent="0.25">
      <c r="A15" t="s">
        <v>14</v>
      </c>
      <c r="B15" s="5">
        <v>0.03001672516641181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1.57084</v>
      </c>
      <c r="C19" s="6" t="s">
        <v>21</v>
      </c>
    </row>
    <row r="20" spans="1:2" x14ac:dyDescent="0.25">
      <c r="A20" t="s">
        <v>22</v>
      </c>
      <c r="B20" s="9">
        <f>B17+B19*B18</f>
        <v>0.11538653200000001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62134439936</v>
      </c>
    </row>
    <row r="23" spans="1:2" x14ac:dyDescent="0.25">
      <c r="A23" t="s">
        <v>26</v>
      </c>
      <c r="B23" s="10">
        <v>7121000000</v>
      </c>
    </row>
    <row r="24" spans="1:2" x14ac:dyDescent="0.25">
      <c r="A24" t="s">
        <v>27</v>
      </c>
      <c r="B24" s="9">
        <f>B22/(B22+B23)</f>
        <v>0.897177752295262</v>
      </c>
    </row>
    <row r="25" spans="1:2" x14ac:dyDescent="0.25">
      <c r="A25" t="s">
        <v>28</v>
      </c>
      <c r="B25" s="9">
        <f>1-B24</f>
        <v>0.10282224770473802</v>
      </c>
    </row>
    <row r="26" spans="1:2" x14ac:dyDescent="0.25">
      <c r="A26" t="s">
        <v>29</v>
      </c>
      <c r="B26" s="11">
        <f>B24*B20+B25*B21*(1-B8)</f>
        <v>0.10782849322740508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32494000000</v>
      </c>
      <c r="C29" s="6" t="s">
        <v>32</v>
      </c>
    </row>
    <row r="30" spans="1:2" x14ac:dyDescent="0.25">
      <c r="A30" t="s">
        <v>33</v>
      </c>
      <c r="B30" s="10">
        <v>4422000000</v>
      </c>
    </row>
    <row r="31" spans="1:2" x14ac:dyDescent="0.25">
      <c r="A31" t="s">
        <v>34</v>
      </c>
      <c r="B31" s="12">
        <v>230900000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0.2763861460577337</v>
      </c>
      <c r="C5" s="5">
        <v>0.020006681425567274</v>
      </c>
      <c r="D5" s="5">
        <v>0.020630846247371364</v>
      </c>
      <c r="E5" s="5">
        <v>0.021255011069175454</v>
      </c>
      <c r="F5" s="5">
        <v>0.021879175890979548</v>
      </c>
      <c r="G5" s="5">
        <v>0.022503340712783638</v>
      </c>
      <c r="H5" s="5">
        <v>0.023127505534587728</v>
      </c>
      <c r="I5" s="5">
        <v>0.02375167035639182</v>
      </c>
      <c r="J5" s="5">
        <v>0.02437583517819591</v>
      </c>
      <c r="K5" s="5">
        <v>0.025</v>
      </c>
    </row>
    <row r="6" spans="1:11" x14ac:dyDescent="0.25">
      <c r="A6" t="s">
        <v>50</v>
      </c>
      <c r="B6" s="18">
        <f>Assumptions!B29*(1+B5)</f>
        <v>41474891430</v>
      </c>
      <c r="C6" s="18">
        <f>B6*(1+C5)</f>
        <v>42304666370</v>
      </c>
      <c r="D6" s="18">
        <f>C6*(1+D5)</f>
        <v>43177447437.42581</v>
      </c>
      <c r="E6" s="18">
        <f>D6*(1+E5)</f>
        <v>44095184560.64703</v>
      </c>
      <c r="F6" s="18">
        <f>E6*(1+F5)</f>
        <v>45059950859.594635</v>
      </c>
      <c r="G6" s="18">
        <f>F6*(1+G5)</f>
        <v>46073950286.28938</v>
      </c>
      <c r="H6" s="18">
        <f>G6*(1+H5)</f>
        <v>47139525826.53586</v>
      </c>
      <c r="I6" s="18">
        <f>H6*(1+I5)</f>
        <v>48259168304.72436</v>
      </c>
      <c r="J6" s="18">
        <f>I6*(1+J5)</f>
        <v>49435525837.157135</v>
      </c>
      <c r="K6" s="18">
        <f>J6*(1+K5)</f>
        <v>50671413983.08606</v>
      </c>
    </row>
    <row r="7" spans="1:11" x14ac:dyDescent="0.25">
      <c r="A7" t="s">
        <v>4</v>
      </c>
      <c r="B7" s="9">
        <f>Assumptions!B7</f>
        <v>0.15282722957838418</v>
      </c>
      <c r="C7" s="9">
        <f>Assumptions!B7</f>
        <v>0.15282722957838418</v>
      </c>
      <c r="D7" s="9">
        <f>Assumptions!B7</f>
        <v>0.15282722957838418</v>
      </c>
      <c r="E7" s="9">
        <f>Assumptions!B7</f>
        <v>0.15282722957838418</v>
      </c>
      <c r="F7" s="9">
        <f>Assumptions!B7</f>
        <v>0.15282722957838418</v>
      </c>
      <c r="G7" s="9">
        <f>Assumptions!B7</f>
        <v>0.15282722957838418</v>
      </c>
      <c r="H7" s="9">
        <f>Assumptions!B7</f>
        <v>0.15282722957838418</v>
      </c>
      <c r="I7" s="9">
        <f>Assumptions!B7</f>
        <v>0.15282722957838418</v>
      </c>
      <c r="J7" s="9">
        <f>Assumptions!B7</f>
        <v>0.15282722957838418</v>
      </c>
      <c r="K7" s="9">
        <f>Assumptions!B7</f>
        <v>0.15282722957838418</v>
      </c>
    </row>
    <row r="8" spans="1:11" x14ac:dyDescent="0.25">
      <c r="A8" t="s">
        <v>51</v>
      </c>
      <c r="B8" s="18">
        <f>B6*B7</f>
        <v>6338492754.311169</v>
      </c>
      <c r="C8" s="18">
        <f>C6*C7</f>
        <v>6465304959.564939</v>
      </c>
      <c r="D8" s="18">
        <f>D6*D7</f>
        <v>6598689672.12809</v>
      </c>
      <c r="E8" s="18">
        <f>E6*E7</f>
        <v>6738944894.151226</v>
      </c>
      <c r="F8" s="18">
        <f>F6*F7</f>
        <v>6886387454.809979</v>
      </c>
      <c r="G8" s="18">
        <f>G6*G7</f>
        <v>7041354177.985807</v>
      </c>
      <c r="H8" s="18">
        <f>H6*H7</f>
        <v>7204203135.708166</v>
      </c>
      <c r="I8" s="18">
        <f>I6*I7</f>
        <v>7375314993.767991</v>
      </c>
      <c r="J8" s="18">
        <f>J6*J7</f>
        <v>7555094456.4433565</v>
      </c>
      <c r="K8" s="18">
        <f>K6*K7</f>
        <v>7743971817.85444</v>
      </c>
    </row>
    <row r="9" spans="1:11" x14ac:dyDescent="0.25">
      <c r="A9" t="s">
        <v>52</v>
      </c>
      <c r="B9" s="18">
        <f>B8*(1-Assumptions!B8)</f>
        <v>5014361024.765481</v>
      </c>
      <c r="C9" s="18">
        <f>C8*(1-Assumptions!B8)</f>
        <v>5114681748.340745</v>
      </c>
      <c r="D9" s="18">
        <f>D8*(1-Assumptions!B8)</f>
        <v>5220201961.094999</v>
      </c>
      <c r="E9" s="18">
        <f>E8*(1-Assumptions!B8)</f>
        <v>5331157411.561404</v>
      </c>
      <c r="F9" s="18">
        <f>F8*(1-Assumptions!B8)</f>
        <v>5447798742.271456</v>
      </c>
      <c r="G9" s="18">
        <f>G8*(1-Assumptions!B8)</f>
        <v>5570392413.503465</v>
      </c>
      <c r="H9" s="18">
        <f>H8*(1-Assumptions!B8)</f>
        <v>5699221694.876591</v>
      </c>
      <c r="I9" s="18">
        <f>I8*(1-Assumptions!B8)</f>
        <v>5834587729.861297</v>
      </c>
      <c r="J9" s="18">
        <f>J8*(1-Assumptions!B8)</f>
        <v>5976810678.69712</v>
      </c>
      <c r="K9" s="18">
        <f>K8*(1-Assumptions!B8)</f>
        <v>6126230945.664547</v>
      </c>
    </row>
    <row r="10" spans="1:11" x14ac:dyDescent="0.25">
      <c r="A10" t="s">
        <v>53</v>
      </c>
      <c r="B10" s="18">
        <f>B6*Assumptions!B9</f>
        <v>1544167509.9394276</v>
      </c>
      <c r="C10" s="18">
        <f>C6*Assumptions!B9</f>
        <v>1575061177.3784974</v>
      </c>
      <c r="D10" s="18">
        <f>D6*Assumptions!B9</f>
        <v>1607556022.3591967</v>
      </c>
      <c r="E10" s="18">
        <f>E6*Assumptions!B9</f>
        <v>1641724643.408761</v>
      </c>
      <c r="F10" s="18">
        <f>F6*Assumptions!B9</f>
        <v>1677644225.646457</v>
      </c>
      <c r="G10" s="18">
        <f>G6*Assumptions!B9</f>
        <v>1715396825.2510133</v>
      </c>
      <c r="H10" s="18">
        <f>H6*Assumptions!B9</f>
        <v>1755069674.8210201</v>
      </c>
      <c r="I10" s="18">
        <f>I6*Assumptions!B9</f>
        <v>1796755511.189869</v>
      </c>
      <c r="J10" s="18">
        <f>J6*Assumptions!B9</f>
        <v>1840552927.3861482</v>
      </c>
      <c r="K10" s="18">
        <f>K6*Assumptions!B9</f>
        <v>1886566750.5708017</v>
      </c>
    </row>
    <row r="11" spans="1:11" x14ac:dyDescent="0.25">
      <c r="A11" t="s">
        <v>54</v>
      </c>
      <c r="B11" s="18">
        <f>-B6*B19</f>
        <v>-3310286868.0045505</v>
      </c>
      <c r="C11" s="18">
        <f>-C6*C19</f>
        <v>-3254382435.183299</v>
      </c>
      <c r="D11" s="18">
        <f>-D6*D19</f>
        <v>-3196871118.7693954</v>
      </c>
      <c r="E11" s="18">
        <f>-E6*E19</f>
        <v>-3137519190.505188</v>
      </c>
      <c r="F11" s="18">
        <f>-F6*F19</f>
        <v>-3076078814.436423</v>
      </c>
      <c r="G11" s="18">
        <f>-G6*G19</f>
        <v>-3012286768.193843</v>
      </c>
      <c r="H11" s="18">
        <f>-H6*H19</f>
        <v>-2945863066.9955378</v>
      </c>
      <c r="I11" s="18">
        <f>-I6*I19</f>
        <v>-2876509481.529566</v>
      </c>
      <c r="J11" s="18">
        <f>-J6*J19</f>
        <v>-2803907940.104712</v>
      </c>
      <c r="K11" s="18">
        <f>-K6*K19</f>
        <v>-2727718804.611315</v>
      </c>
    </row>
    <row r="12" spans="1:11" x14ac:dyDescent="0.25">
      <c r="A12" t="s">
        <v>55</v>
      </c>
      <c r="B12" s="18">
        <f>-(B6-Assumptions!B29)*Assumptions!B11</f>
        <v>-1711422674.243864</v>
      </c>
      <c r="C12" s="18">
        <f>-(C6-B6)*Assumptions!B11</f>
        <v>-158124130.3164648</v>
      </c>
      <c r="D12" s="18">
        <f>-(D6-C6)*Assumptions!B11</f>
        <v>-166319492.90175274</v>
      </c>
      <c r="E12" s="18">
        <f>-(E6-D6)*Assumptions!B11</f>
        <v>-174886439.04874977</v>
      </c>
      <c r="F12" s="18">
        <f>-(F6-E6)*Assumptions!B11</f>
        <v>-183848444.4706464</v>
      </c>
      <c r="G12" s="18">
        <f>-(G6-F6)*Assumptions!B11</f>
        <v>-193230440.8801511</v>
      </c>
      <c r="H12" s="18">
        <f>-(H6-G6)*Assumptions!B11</f>
        <v>-203058922.9267047</v>
      </c>
      <c r="I12" s="18">
        <f>-(I6-H6)*Assumptions!B11</f>
        <v>-213362063.12633145</v>
      </c>
      <c r="J12" s="18">
        <f>-(J6-I6)*Assumptions!B11</f>
        <v>-224169835.44616985</v>
      </c>
      <c r="K12" s="18">
        <f>-(K6-J6)*Assumptions!B11</f>
        <v>-235514148.26222557</v>
      </c>
    </row>
    <row r="13" spans="1:11" x14ac:dyDescent="0.25">
      <c r="A13" s="19" t="s">
        <v>56</v>
      </c>
      <c r="B13" s="20">
        <f>B9+B10+B11+B12</f>
        <v>1536818992.4564939</v>
      </c>
      <c r="C13" s="20">
        <f>C9+C10+C11+C12</f>
        <v>3277236360.219478</v>
      </c>
      <c r="D13" s="20">
        <f>D9+D10+D11+D12</f>
        <v>3464567371.7830477</v>
      </c>
      <c r="E13" s="20">
        <f>E9+E10+E11+E12</f>
        <v>3660476425.4162273</v>
      </c>
      <c r="F13" s="20">
        <f>F9+F10+F11+F12</f>
        <v>3865515709.0108433</v>
      </c>
      <c r="G13" s="20">
        <f>G9+G10+G11+G12</f>
        <v>4080272029.6804843</v>
      </c>
      <c r="H13" s="20">
        <f>H9+H10+H11+H12</f>
        <v>4305369379.775369</v>
      </c>
      <c r="I13" s="20">
        <f>I9+I10+I11+I12</f>
        <v>4541471696.395268</v>
      </c>
      <c r="J13" s="20">
        <f>J9+J10+J11+J12</f>
        <v>4789285830.532386</v>
      </c>
      <c r="K13" s="20">
        <f>K9+K10+K11+K12</f>
        <v>5049564743.361809</v>
      </c>
    </row>
    <row r="14" spans="1:11" x14ac:dyDescent="0.25">
      <c r="A14" t="s">
        <v>57</v>
      </c>
      <c r="B14" s="21">
        <f>1/(1+Assumptions!$B$26)^(1-0.5*Assumptions!$B$32)</f>
        <v>0.950087784975765</v>
      </c>
      <c r="C14" s="21">
        <f>1/(1+Assumptions!$B$26)^(2-0.5*Assumptions!$B$32)</f>
        <v>0.8576126997852361</v>
      </c>
      <c r="D14" s="21">
        <f>1/(1+Assumptions!$B$26)^(3-0.5*Assumptions!$B$32)</f>
        <v>0.7741385106342386</v>
      </c>
      <c r="E14" s="21">
        <f>1/(1+Assumptions!$B$26)^(4-0.5*Assumptions!$B$32)</f>
        <v>0.6987891315008183</v>
      </c>
      <c r="F14" s="21">
        <f>1/(1+Assumptions!$B$26)^(5-0.5*Assumptions!$B$32)</f>
        <v>0.6307737486197487</v>
      </c>
      <c r="G14" s="21">
        <f>1/(1+Assumptions!$B$26)^(6-0.5*Assumptions!$B$32)</f>
        <v>0.5693785206608412</v>
      </c>
      <c r="H14" s="21">
        <f>1/(1+Assumptions!$B$26)^(7-0.5*Assumptions!$B$32)</f>
        <v>0.5139590867554661</v>
      </c>
      <c r="I14" s="21">
        <f>1/(1+Assumptions!$B$26)^(8-0.5*Assumptions!$B$32)</f>
        <v>0.4639338037408333</v>
      </c>
      <c r="J14" s="21">
        <f>1/(1+Assumptions!$B$26)^(9-0.5*Assumptions!$B$32)</f>
        <v>0.41877764164493386</v>
      </c>
      <c r="K14" s="21">
        <f>1/(1+Assumptions!$B$26)^(10-0.5*Assumptions!$B$32)</f>
        <v>0.37801667334347117</v>
      </c>
    </row>
    <row r="15" spans="1:11" x14ac:dyDescent="0.25">
      <c r="A15" s="19" t="s">
        <v>58</v>
      </c>
      <c r="B15" s="20">
        <f>B13*B14</f>
        <v>1460112952.451677</v>
      </c>
      <c r="C15" s="20">
        <f>C13*C14</f>
        <v>2810599522.7221675</v>
      </c>
      <c r="D15" s="20">
        <f>D13*D14</f>
        <v>2682055025.184107</v>
      </c>
      <c r="E15" s="20">
        <f>E13*E14</f>
        <v>2557901142.1958256</v>
      </c>
      <c r="F15" s="20">
        <f>F13*F14</f>
        <v>2438265834.121295</v>
      </c>
      <c r="G15" s="20">
        <f>G13*G14</f>
        <v>2323219252.1532817</v>
      </c>
      <c r="H15" s="20">
        <f>H13*H14</f>
        <v>2212783714.574296</v>
      </c>
      <c r="I15" s="20">
        <f>I13*I14</f>
        <v>2106942238.6899917</v>
      </c>
      <c r="J15" s="20">
        <f>J13*J14</f>
        <v>2005645825.273851</v>
      </c>
      <c r="K15" s="20">
        <f>K13*K14</f>
        <v>1908819666.1181097</v>
      </c>
    </row>
    <row r="17" spans="1:2" x14ac:dyDescent="0.25">
      <c r="A17" s="22" t="s">
        <v>59</v>
      </c>
      <c r="B17" s="23">
        <f>SUM(B15:K15)</f>
        <v>22506345173.4846</v>
      </c>
    </row>
    <row r="19" spans="1:11" x14ac:dyDescent="0.25">
      <c r="A19" t="s">
        <v>7</v>
      </c>
      <c r="B19" s="9">
        <f>Assumptions!$B$10+($B$20-Assumptions!$B$10)*0/9</f>
        <v>0.07981423829864744</v>
      </c>
      <c r="C19" s="9">
        <f>Assumptions!$B$10+($B$20-Assumptions!$B$10)*1/9</f>
        <v>0.07692726865448388</v>
      </c>
      <c r="D19" s="9">
        <f>Assumptions!$B$10+($B$20-Assumptions!$B$10)*2/9</f>
        <v>0.0740402990103203</v>
      </c>
      <c r="E19" s="9">
        <f>Assumptions!$B$10+($B$20-Assumptions!$B$10)*3/9</f>
        <v>0.07115332936615675</v>
      </c>
      <c r="F19" s="9">
        <f>Assumptions!$B$10+($B$20-Assumptions!$B$10)*4/9</f>
        <v>0.06826635972199317</v>
      </c>
      <c r="G19" s="9">
        <f>Assumptions!$B$10+($B$20-Assumptions!$B$10)*5/9</f>
        <v>0.06537939007782961</v>
      </c>
      <c r="H19" s="9">
        <f>Assumptions!$B$10+($B$20-Assumptions!$B$10)*6/9</f>
        <v>0.06249242043366605</v>
      </c>
      <c r="I19" s="9">
        <f>Assumptions!$B$10+($B$20-Assumptions!$B$10)*7/9</f>
        <v>0.05960545078950248</v>
      </c>
      <c r="J19" s="9">
        <f>Assumptions!$B$10+($B$20-Assumptions!$B$10)*8/9</f>
        <v>0.056718481145338916</v>
      </c>
      <c r="K19" s="9">
        <f>Assumptions!$B$10+($B$20-Assumptions!$B$10)*9/9</f>
        <v>0.05383151150117535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0.05383151150117535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5049564743.361809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6415437598.632304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0.1880976751367365</v>
      </c>
    </row>
    <row r="7" spans="1:2" x14ac:dyDescent="0.25">
      <c r="A7" t="s">
        <v>66</v>
      </c>
      <c r="B7" s="18">
        <f>-MAX(B5,0)*B6</f>
        <v>-1206728897.287544</v>
      </c>
    </row>
    <row r="8" spans="1:2" x14ac:dyDescent="0.25">
      <c r="A8" t="s">
        <v>67</v>
      </c>
      <c r="B8" s="18">
        <f>IF(OR(Assumptions!$B$33=0,Assumptions!B12&lt;=0),B5,MAX(B5+B7,0))</f>
        <v>5208708701.34476</v>
      </c>
    </row>
    <row r="9" spans="1:2" x14ac:dyDescent="0.25">
      <c r="A9" t="s">
        <v>68</v>
      </c>
      <c r="B9" s="18">
        <f>B8*(1+Assumptions!B12)/(Assumptions!B26-Assumptions!B12)</f>
        <v>64457606444.92702</v>
      </c>
    </row>
    <row r="10" spans="1:2" x14ac:dyDescent="0.25">
      <c r="A10" t="s">
        <v>69</v>
      </c>
      <c r="B10" s="18">
        <f>B9/(1+Assumptions!B26)^(10-0.5*Assumptions!B32)</f>
        <v>24366049959.994</v>
      </c>
    </row>
    <row r="11" spans="1:2" x14ac:dyDescent="0.25">
      <c r="A11" t="s">
        <v>70</v>
      </c>
      <c r="B11" s="18">
        <f>Forecast!B17+B10</f>
        <v>46872395133.4786</v>
      </c>
    </row>
    <row r="12" spans="1:2" x14ac:dyDescent="0.25">
      <c r="A12" t="s">
        <v>71</v>
      </c>
      <c r="B12" s="18">
        <f>-Assumptions!B30</f>
        <v>-4422000000</v>
      </c>
    </row>
    <row r="13" spans="1:2" x14ac:dyDescent="0.25">
      <c r="A13" t="s">
        <v>72</v>
      </c>
      <c r="B13" s="18">
        <f>B11+B12</f>
        <v>42450395133.4786</v>
      </c>
    </row>
    <row r="14" spans="1:2" x14ac:dyDescent="0.25">
      <c r="A14" s="19" t="s">
        <v>73</v>
      </c>
      <c r="B14" s="24">
        <f>B13/Assumptions!B31</f>
        <v>183.84753197695366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9630538568.425241</v>
      </c>
    </row>
    <row r="18" spans="1:2" x14ac:dyDescent="0.25">
      <c r="A18" t="s">
        <v>68</v>
      </c>
      <c r="B18" s="18">
        <f>B17*Assumptions!B13</f>
        <v>154862131379.7357</v>
      </c>
    </row>
    <row r="19" spans="1:2" x14ac:dyDescent="0.25">
      <c r="A19" t="s">
        <v>69</v>
      </c>
      <c r="B19" s="18">
        <f>B18/(1+Assumptions!B26)^(10-0.5*Assumptions!B32)</f>
        <v>58540467731.047264</v>
      </c>
    </row>
    <row r="20" spans="1:2" x14ac:dyDescent="0.25">
      <c r="A20" t="s">
        <v>70</v>
      </c>
      <c r="B20" s="18">
        <f>Forecast!B17+B19</f>
        <v>81046812904.53186</v>
      </c>
    </row>
    <row r="21" spans="1:2" x14ac:dyDescent="0.25">
      <c r="A21" t="s">
        <v>71</v>
      </c>
      <c r="B21" s="18">
        <f>-Assumptions!B30</f>
        <v>-4422000000</v>
      </c>
    </row>
    <row r="22" spans="1:2" x14ac:dyDescent="0.25">
      <c r="A22" t="s">
        <v>72</v>
      </c>
      <c r="B22" s="18">
        <f>B20+B21</f>
        <v>76624812904.53186</v>
      </c>
    </row>
    <row r="23" spans="1:2" x14ac:dyDescent="0.25">
      <c r="A23" s="19" t="s">
        <v>73</v>
      </c>
      <c r="B23" s="25">
        <f>B22/Assumptions!B31</f>
        <v>331.8528059962402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273.87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183.84753197695366</v>
      </c>
    </row>
    <row r="29" spans="1:2" x14ac:dyDescent="0.25">
      <c r="A29" s="19" t="s">
        <v>81</v>
      </c>
      <c r="B29" s="11">
        <f>B28/B26-1</f>
        <v>-0.32870510834719513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0.087828</v>
      </c>
      <c r="B5" s="31">
        <v>247.47825488259124</v>
      </c>
      <c r="C5" s="31">
        <v>249.82528661326023</v>
      </c>
      <c r="D5" s="31">
        <v>252.91464176538022</v>
      </c>
      <c r="E5" s="31">
        <v>256.9388715480847</v>
      </c>
      <c r="F5" s="31">
        <v>262.1634245768574</v>
      </c>
    </row>
    <row r="6" spans="1:6" x14ac:dyDescent="0.25">
      <c r="A6" s="30">
        <v>0.097828</v>
      </c>
      <c r="B6" s="31">
        <v>212.46353893701598</v>
      </c>
      <c r="C6" s="31">
        <v>212.841477492815</v>
      </c>
      <c r="D6" s="31">
        <v>213.57271555701533</v>
      </c>
      <c r="E6" s="31">
        <v>214.7353844710397</v>
      </c>
      <c r="F6" s="31">
        <v>216.43248707991515</v>
      </c>
    </row>
    <row r="7" spans="1:6" x14ac:dyDescent="0.25">
      <c r="A7" s="30">
        <v>0.107828</v>
      </c>
      <c r="B7" s="31">
        <v>185.1558767135556</v>
      </c>
      <c r="C7" s="31">
        <v>184.4210572893804</v>
      </c>
      <c r="D7" s="32">
        <v>183.84881826990215</v>
      </c>
      <c r="E7" s="31">
        <v>183.47049421428278</v>
      </c>
      <c r="F7" s="31">
        <v>183.32602476740996</v>
      </c>
    </row>
    <row r="8" spans="1:6" x14ac:dyDescent="0.25">
      <c r="A8" s="30">
        <v>0.117828</v>
      </c>
      <c r="B8" s="31">
        <v>163.29542990994565</v>
      </c>
      <c r="C8" s="31">
        <v>161.92812045641625</v>
      </c>
      <c r="D8" s="31">
        <v>160.62630843897853</v>
      </c>
      <c r="E8" s="31">
        <v>159.4011800572656</v>
      </c>
      <c r="F8" s="31">
        <v>158.26662257809375</v>
      </c>
    </row>
    <row r="9" spans="1:6" x14ac:dyDescent="0.25">
      <c r="A9" s="30">
        <v>0.127828</v>
      </c>
      <c r="B9" s="31">
        <v>145.42444119523464</v>
      </c>
      <c r="C9" s="31">
        <v>143.70538427524426</v>
      </c>
      <c r="D9" s="31">
        <v>142.00159942933755</v>
      </c>
      <c r="E9" s="31">
        <v>140.31542832974796</v>
      </c>
      <c r="F9" s="31">
        <v>138.6497171672236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32494000000</v>
      </c>
      <c r="C5" s="18">
        <v>30734000000</v>
      </c>
      <c r="D5" s="18">
        <v>34714000000</v>
      </c>
      <c r="E5" s="18">
        <v>41512000000</v>
      </c>
      <c r="F5" s="6" t="s">
        <v>91</v>
      </c>
    </row>
    <row r="6" spans="1:6" x14ac:dyDescent="0.25">
      <c r="A6" t="s">
        <v>51</v>
      </c>
      <c r="B6" s="18">
        <v>2659000000</v>
      </c>
      <c r="C6" s="18">
        <v>2979000000</v>
      </c>
      <c r="D6" s="18">
        <v>6230000000</v>
      </c>
      <c r="E6" s="18">
        <v>10506000000</v>
      </c>
      <c r="F6" s="6" t="s">
        <v>92</v>
      </c>
    </row>
    <row r="7" spans="1:6" x14ac:dyDescent="0.25">
      <c r="A7" t="s">
        <v>93</v>
      </c>
      <c r="B7" s="18">
        <v>1480000000</v>
      </c>
      <c r="C7" s="18">
        <v>1356000000</v>
      </c>
      <c r="D7" s="18">
        <v>1169000000</v>
      </c>
      <c r="E7" s="18">
        <v>1062000000</v>
      </c>
      <c r="F7" s="6" t="s">
        <v>94</v>
      </c>
    </row>
    <row r="8" spans="1:6" x14ac:dyDescent="0.25">
      <c r="A8" t="s">
        <v>95</v>
      </c>
      <c r="B8" s="18">
        <v>3422000000</v>
      </c>
      <c r="C8" s="18">
        <v>3173000000</v>
      </c>
      <c r="D8" s="18">
        <v>2214000000</v>
      </c>
      <c r="E8" s="18">
        <v>1948000000</v>
      </c>
      <c r="F8" s="6" t="s">
        <v>96</v>
      </c>
    </row>
    <row r="9" spans="1:6" x14ac:dyDescent="0.25">
      <c r="A9" t="s">
        <v>97</v>
      </c>
      <c r="B9" s="18">
        <v>636000000</v>
      </c>
      <c r="C9" s="18">
        <v>-156000000</v>
      </c>
      <c r="D9" s="18">
        <v>-858000000</v>
      </c>
      <c r="E9" s="18">
        <v>-693000000</v>
      </c>
      <c r="F9" s="6" t="s">
        <v>98</v>
      </c>
    </row>
    <row r="10" spans="1:6" x14ac:dyDescent="0.25">
      <c r="A10" t="s">
        <v>99</v>
      </c>
      <c r="B10" s="18">
        <v>7121000000</v>
      </c>
      <c r="C10" s="18">
        <v>6950000000</v>
      </c>
      <c r="D10" s="18">
        <v>6842000000</v>
      </c>
      <c r="E10" s="18">
        <v>6691350000</v>
      </c>
      <c r="F10" s="6" t="s">
        <v>100</v>
      </c>
    </row>
    <row r="11" spans="1:6" x14ac:dyDescent="0.25">
      <c r="A11" t="s">
        <v>101</v>
      </c>
      <c r="B11" s="18">
        <v>2699000000</v>
      </c>
      <c r="C11" s="18">
        <v>4139000000</v>
      </c>
      <c r="D11" s="18">
        <v>7130000000</v>
      </c>
      <c r="E11" s="18">
        <v>4857798000</v>
      </c>
      <c r="F11" s="6" t="s">
        <v>102</v>
      </c>
    </row>
    <row r="12" spans="1:6" x14ac:dyDescent="0.25">
      <c r="A12" t="s">
        <v>34</v>
      </c>
      <c r="B12" s="34">
        <v>230900000</v>
      </c>
      <c r="C12" s="34">
        <v>238500000</v>
      </c>
      <c r="D12" s="34">
        <v>250412000</v>
      </c>
      <c r="E12" s="34">
        <v>263176000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