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<sst xmlns="http://schemas.openxmlformats.org/spreadsheetml/2006/main" count="113" uniqueCount="101">
  <si>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NVIDIA Corporation (NVDA)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</si>
  <si>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</si>
  <si>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</si>
  <si>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</si>
  <si>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</si>
  <si>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</si>
  <si>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</si>
  <si>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</si>
  <si>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</si>
  <si>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</si>
  <si>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</si>
  <si>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</si>
  <si>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</si>
  <si>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</si>
  <si>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</si>
  <si>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</si>
  <si>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</si>
  <si>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</si>
  <si>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</si>
  <si>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</si>
  <si>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</si>
  <si>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</si>
  <si>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</si>
  <si>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</si>
  <si>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</si>
  <si>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</si>
  <si>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</si>
  <si>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</si>
  <si>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</si>
  <si>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</si>
  <si>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</si>
  <si>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</si>
  <si>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</si>
  <si>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</si>
  <si>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</si>
  <si>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</si>
  <si>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</si>
  <si>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</si>
  <si>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</si>
  <si>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</si>
  <si>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</si>
  <si>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</si>
  <si>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</si>
  <si>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</si>
  <si>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</si>
  <si>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</si>
  <si>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</si>
  <si>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</si>
  <si>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</si>
  <si>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</si>
  <si>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</si>
  <si>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</si>
  <si>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</si>
  <si>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</si>
  <si>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</si>
  <si>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</si>
  <si>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</si>
  <si>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</si>
  <si>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</si>
  <si>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</si>
  <si>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</si>
  <si>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</si>
  <si>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</si>
  <si>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</si>
  <si>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</si>
  <si>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</si>
  <si>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</si>
  <si>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</si>
  <si>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</si>
  <si>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</si>
  <si>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</si>
  <si>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</si>
  <si>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</si>
  <si>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</si>
  <si>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</si>
  <si>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</si>
  <si>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</si>
  <si>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</si>
  <si>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</si>
  <si>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</si>
  <si>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</si>
  <si>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</si>
  <si>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</si>
  <si>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</si>
  <si>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</si>
  <si>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</si>
  <si>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</si>
  <si>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</si>
  <si>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</si>
  <si>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</si>
  <si>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</si>
  <si>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</si>
  <si>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</si>
  <si>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</si>
  <si>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</si>
  <si>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</si>
  <si>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</si>
  <si>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</si>
  <si>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3.5% of revenue against depreciation of 2.7%. A perpetuity has to be a steady state, so the terminal year uses maintenance capex at depreciation and then charges the reinvestment terminal growth requires (g/ROIC of NOPAT). The bridge is shown under Terminal Value.</t>
  </si>
  <si>
    <t>Current EV/EBITDA of 39.9x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</si>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</sst>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0.4939908487518491</v>
      </c>
    </row>
    <row r="8" spans="1:2" x14ac:dyDescent="0.25">
      <c r="A8" t="s">
        <v>6</v>
      </c>
      <c r="B8" s="6">
        <v>0.13264941803727417</v>
      </c>
    </row>
    <row r="9" spans="1:2" x14ac:dyDescent="0.25">
      <c r="A9" t="s">
        <v>7</v>
      </c>
      <c r="B9" s="6">
        <v>0.027351466232520293</v>
      </c>
    </row>
    <row r="10" spans="1:2" x14ac:dyDescent="0.25">
      <c r="A10" t="s">
        <v>8</v>
      </c>
      <c r="B10" s="6">
        <v>0.034569778062402606</v>
      </c>
    </row>
    <row r="11" spans="1:2" x14ac:dyDescent="0.25">
      <c r="A11" t="s">
        <v>9</v>
      </c>
      <c r="B11" s="6">
        <v>0.13486166007905137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1.8153900000000003</v>
      </c>
      <c r="C19" s="8" t="s">
        <v>19</v>
      </c>
    </row>
    <row r="20" spans="1:2" x14ac:dyDescent="0.25">
      <c r="A20" t="s">
        <v>20</v>
      </c>
      <c r="B20" s="10">
        <f>B17+B19*B18</f>
        <v>0.14982645000000003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5367153557504</v>
      </c>
    </row>
    <row r="23" spans="1:2" x14ac:dyDescent="0.25">
      <c r="A23" t="s">
        <v>24</v>
      </c>
      <c r="B23" s="11">
        <v>11040000000</v>
      </c>
    </row>
    <row r="24" spans="1:2" x14ac:dyDescent="0.25">
      <c r="A24" t="s">
        <v>25</v>
      </c>
      <c r="B24" s="10">
        <f>B22/(B22+B23)</f>
        <v>0.9979472661439274</v>
      </c>
    </row>
    <row r="25" spans="1:2" x14ac:dyDescent="0.25">
      <c r="A25" t="s">
        <v>26</v>
      </c>
      <c r="B25" s="10">
        <f>1-B24</f>
        <v>0.0020527338560726305</v>
      </c>
    </row>
    <row r="26" spans="1:2" x14ac:dyDescent="0.25">
      <c r="A26" t="s">
        <v>27</v>
      </c>
      <c r="B26" s="12">
        <f>B24*B20+B25*B21*(1-B8)</f>
        <v>0.14960788255998572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215938000000</v>
      </c>
      <c r="C29" s="8" t="s">
        <v>30</v>
      </c>
    </row>
    <row r="30" spans="1:2" x14ac:dyDescent="0.25">
      <c r="A30" t="s">
        <v>31</v>
      </c>
      <c r="B30" s="11">
        <v>-51516000000</v>
      </c>
    </row>
    <row r="31" spans="1:2" x14ac:dyDescent="0.25">
      <c r="A31" t="s">
        <v>32</v>
      </c>
      <c r="B31" s="13">
        <v>24514000000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323907000000</v>
      </c>
      <c r="C6" s="18">
        <f>B6*(1+C5)</f>
        <v>485860500000</v>
      </c>
      <c r="D6" s="18">
        <f>C6*(1+D5)</f>
        <v>728790750000</v>
      </c>
      <c r="E6" s="18">
        <f>D6*(1+E5)</f>
        <v>1093186125000</v>
      </c>
      <c r="F6" s="18">
        <f>E6*(1+F5)</f>
        <v>1639779187500</v>
      </c>
    </row>
    <row r="7" spans="1:6" x14ac:dyDescent="0.25">
      <c r="A7" t="s">
        <v>5</v>
      </c>
      <c r="B7" s="10">
        <f>Assumptions!B7</f>
        <v>0.4939908487518491</v>
      </c>
      <c r="C7" s="10">
        <f>Assumptions!B7</f>
        <v>0.4939908487518491</v>
      </c>
      <c r="D7" s="10">
        <f>Assumptions!B7</f>
        <v>0.4939908487518491</v>
      </c>
      <c r="E7" s="10">
        <f>Assumptions!B7</f>
        <v>0.4939908487518491</v>
      </c>
      <c r="F7" s="10">
        <f>Assumptions!B7</f>
        <v>0.4939908487518491</v>
      </c>
    </row>
    <row r="8" spans="1:6" x14ac:dyDescent="0.25">
      <c r="A8" t="s">
        <v>44</v>
      </c>
      <c r="B8" s="18">
        <f>B6*B7</f>
        <v>160007093846.6652</v>
      </c>
      <c r="C8" s="18">
        <f>C6*C7</f>
        <v>240010640769.9978</v>
      </c>
      <c r="D8" s="18">
        <f>D6*D7</f>
        <v>360015961154.9967</v>
      </c>
      <c r="E8" s="18">
        <f>E6*E7</f>
        <v>540023941732.49506</v>
      </c>
      <c r="F8" s="18">
        <f>F6*F7</f>
        <v>810035912598.7426</v>
      </c>
    </row>
    <row r="9" spans="1:6" x14ac:dyDescent="0.25">
      <c r="A9" t="s">
        <v>45</v>
      </c>
      <c r="B9" s="18">
        <f>B8*(1-Assumptions!B8)</f>
        <v>138782245966.06955</v>
      </c>
      <c r="C9" s="18">
        <f>C8*(1-Assumptions!B8)</f>
        <v>208173368949.10434</v>
      </c>
      <c r="D9" s="18">
        <f>D8*(1-Assumptions!B8)</f>
        <v>312260053423.6565</v>
      </c>
      <c r="E9" s="18">
        <f>E8*(1-Assumptions!B8)</f>
        <v>468390080135.48474</v>
      </c>
      <c r="F9" s="18">
        <f>F8*(1-Assumptions!B8)</f>
        <v>702585120203.227</v>
      </c>
    </row>
    <row r="10" spans="1:6" x14ac:dyDescent="0.25">
      <c r="A10" t="s">
        <v>46</v>
      </c>
      <c r="B10" s="18">
        <f>B6*Assumptions!B9</f>
        <v>8859331372.97695</v>
      </c>
      <c r="C10" s="18">
        <f>C6*Assumptions!B9</f>
        <v>13288997059.465425</v>
      </c>
      <c r="D10" s="18">
        <f>D6*Assumptions!B9</f>
        <v>19933495589.19814</v>
      </c>
      <c r="E10" s="18">
        <f>E6*Assumptions!B9</f>
        <v>29900243383.797207</v>
      </c>
      <c r="F10" s="18">
        <f>F6*Assumptions!B9</f>
        <v>44850365075.69581</v>
      </c>
    </row>
    <row r="11" spans="1:6" x14ac:dyDescent="0.25">
      <c r="A11" t="s">
        <v>47</v>
      </c>
      <c r="B11" s="18">
        <f>-B6*Assumptions!B10</f>
        <v>-11197393102.85864</v>
      </c>
      <c r="C11" s="18">
        <f>-C6*Assumptions!B10</f>
        <v>-16796089654.287962</v>
      </c>
      <c r="D11" s="18">
        <f>-D6*Assumptions!B10</f>
        <v>-25194134481.431942</v>
      </c>
      <c r="E11" s="18">
        <f>-E6*Assumptions!B10</f>
        <v>-37791201722.14791</v>
      </c>
      <c r="F11" s="18">
        <f>-F6*Assumptions!B10</f>
        <v>-56686802583.22187</v>
      </c>
    </row>
    <row r="12" spans="1:6" x14ac:dyDescent="0.25">
      <c r="A12" t="s">
        <v>48</v>
      </c>
      <c r="B12" s="18">
        <f>-(B6-Assumptions!B29)*Assumptions!B11</f>
        <v>-14560878577.075098</v>
      </c>
      <c r="C12" s="18">
        <f>-(C6-B6)*Assumptions!B11</f>
        <v>-21841317865.612648</v>
      </c>
      <c r="D12" s="18">
        <f>-(D6-C6)*Assumptions!B11</f>
        <v>-32761976798.41897</v>
      </c>
      <c r="E12" s="18">
        <f>-(E6-D6)*Assumptions!B11</f>
        <v>-49142965197.628456</v>
      </c>
      <c r="F12" s="18">
        <f>-(F6-E6)*Assumptions!B11</f>
        <v>-73714447796.44269</v>
      </c>
    </row>
    <row r="13" spans="1:6" x14ac:dyDescent="0.25">
      <c r="A13" s="19" t="s">
        <v>49</v>
      </c>
      <c r="B13" s="20">
        <f>B9+B10+B11+B12</f>
        <v>121883305659.11276</v>
      </c>
      <c r="C13" s="20">
        <f>C9+C10+C11+C12</f>
        <v>182824958488.66916</v>
      </c>
      <c r="D13" s="20">
        <f>D9+D10+D11+D12</f>
        <v>274237437733.0037</v>
      </c>
      <c r="E13" s="20">
        <f>E9+E10+E11+E12</f>
        <v>411356156599.50555</v>
      </c>
      <c r="F13" s="20">
        <f>F9+F10+F11+F12</f>
        <v>617034234899.2583</v>
      </c>
    </row>
    <row r="14" spans="1:6" x14ac:dyDescent="0.25">
      <c r="A14" t="s">
        <v>50</v>
      </c>
      <c r="B14" s="21">
        <f>1/(1+Assumptions!$B$26)^(1-0.5*Assumptions!$B$32)</f>
        <v>0.9326638277761252</v>
      </c>
      <c r="C14" s="21">
        <f>1/(1+Assumptions!$B$26)^(2-0.5*Assumptions!$B$32)</f>
        <v>0.8112886506129705</v>
      </c>
      <c r="D14" s="21">
        <f>1/(1+Assumptions!$B$26)^(3-0.5*Assumptions!$B$32)</f>
        <v>0.7057090186319577</v>
      </c>
      <c r="E14" s="21">
        <f>1/(1+Assumptions!$B$26)^(4-0.5*Assumptions!$B$32)</f>
        <v>0.6138693282621384</v>
      </c>
      <c r="F14" s="21">
        <f>1/(1+Assumptions!$B$26)^(5-0.5*Assumptions!$B$32)</f>
        <v>0.5339814884490469</v>
      </c>
    </row>
    <row r="15" spans="1:6" x14ac:dyDescent="0.25">
      <c r="A15" s="19" t="s">
        <v>51</v>
      </c>
      <c r="B15" s="20">
        <f>B13*B14</f>
        <v>113676150398.03557</v>
      </c>
      <c r="C15" s="20">
        <f>C13*C14</f>
        <v>148323813870.64474</v>
      </c>
      <c r="D15" s="20">
        <f>D13*D14</f>
        <v>193531833054.70062</v>
      </c>
      <c r="E15" s="20">
        <f>E13*E14</f>
        <v>252518927528.23346</v>
      </c>
      <c r="F15" s="20">
        <f>F13*F14</f>
        <v>329484859175.5248</v>
      </c>
    </row>
    <row r="17" spans="1:2" x14ac:dyDescent="0.25">
      <c r="A17" s="22" t="s">
        <v>52</v>
      </c>
      <c r="B17" s="23">
        <f>SUM(B15:F15)</f>
        <v>1037535584027.1392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617034234899.2583</v>
      </c>
    </row>
    <row r="5" spans="1:2" x14ac:dyDescent="0.25">
      <c r="A5" t="s">
        <v>56</v>
      </c>
      <c r="B5" s="18">
        <f>IF(Assumptions!$B$33=0,B4,B4-Forecast!F11-Forecast!F10-Forecast!F12)</f>
        <v>708799729328.8796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-29533322055.369987</v>
      </c>
    </row>
    <row r="8" spans="1:2" x14ac:dyDescent="0.25">
      <c r="A8" t="s">
        <v>59</v>
      </c>
      <c r="B8" s="18">
        <f>IF(OR(Assumptions!$B$33=0,Assumptions!B12&lt;=0),B5,MAX(B5+B7,0))</f>
        <v>679266407273.5096</v>
      </c>
    </row>
    <row r="9" spans="1:2" x14ac:dyDescent="0.25">
      <c r="A9" t="s">
        <v>60</v>
      </c>
      <c r="B9" s="18">
        <f>B8*(1+Assumptions!B12)/(Assumptions!B26-Assumptions!B12)</f>
        <v>5587512227568.56</v>
      </c>
    </row>
    <row r="10" spans="1:2" x14ac:dyDescent="0.25">
      <c r="A10" t="s">
        <v>61</v>
      </c>
      <c r="B10" s="18">
        <f>B9/(1+Assumptions!B26)^(5-0.5*Assumptions!B32)</f>
        <v>2983628096004.309</v>
      </c>
    </row>
    <row r="11" spans="1:2" x14ac:dyDescent="0.25">
      <c r="A11" t="s">
        <v>62</v>
      </c>
      <c r="B11" s="18">
        <f>Forecast!B17+B10</f>
        <v>4021163680031.448</v>
      </c>
    </row>
    <row r="12" spans="1:2" x14ac:dyDescent="0.25">
      <c r="A12" t="s">
        <v>63</v>
      </c>
      <c r="B12" s="18">
        <f>-Assumptions!B30</f>
        <v>51516000000</v>
      </c>
    </row>
    <row r="13" spans="1:2" x14ac:dyDescent="0.25">
      <c r="A13" t="s">
        <v>64</v>
      </c>
      <c r="B13" s="18">
        <f>B11+B12</f>
        <v>4072679680031.448</v>
      </c>
    </row>
    <row r="14" spans="1:2" x14ac:dyDescent="0.25">
      <c r="A14" s="19" t="s">
        <v>65</v>
      </c>
      <c r="B14" s="24">
        <f>B13/Assumptions!B31</f>
        <v>166.13688831000442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854886277674.4384</v>
      </c>
    </row>
    <row r="18" spans="1:2" x14ac:dyDescent="0.25">
      <c r="A18" t="s">
        <v>60</v>
      </c>
      <c r="B18" s="18">
        <f>B17*Assumptions!B13</f>
        <v>17097725553488.768</v>
      </c>
    </row>
    <row r="19" spans="1:2" x14ac:dyDescent="0.25">
      <c r="A19" t="s">
        <v>61</v>
      </c>
      <c r="B19" s="18">
        <f>B18/(1+Assumptions!B26)^(5-0.5*Assumptions!B32)</f>
        <v>9129868940145.236</v>
      </c>
    </row>
    <row r="20" spans="1:2" x14ac:dyDescent="0.25">
      <c r="A20" t="s">
        <v>62</v>
      </c>
      <c r="B20" s="18">
        <f>Forecast!B17+B19</f>
        <v>10167404524172.375</v>
      </c>
    </row>
    <row r="21" spans="1:2" x14ac:dyDescent="0.25">
      <c r="A21" t="s">
        <v>63</v>
      </c>
      <c r="B21" s="18">
        <f>-Assumptions!B30</f>
        <v>51516000000</v>
      </c>
    </row>
    <row r="22" spans="1:2" x14ac:dyDescent="0.25">
      <c r="A22" t="s">
        <v>64</v>
      </c>
      <c r="B22" s="18">
        <f>B20+B21</f>
        <v>10218920524172.375</v>
      </c>
    </row>
    <row r="23" spans="1:2" x14ac:dyDescent="0.25">
      <c r="A23" s="19" t="s">
        <v>65</v>
      </c>
      <c r="B23" s="25">
        <f>B22/Assumptions!B31</f>
        <v>416.86059085307886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222.27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166.13688831000442</v>
      </c>
    </row>
    <row r="29" spans="1:2" x14ac:dyDescent="0.25">
      <c r="A29" s="19" t="s">
        <v>73</v>
      </c>
      <c r="B29" s="12">
        <f>B28/B26-1</f>
        <v>-0.2525447054932991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0.129608</v>
      </c>
      <c r="B5" s="31">
        <v>191.01388302995724</v>
      </c>
      <c r="C5" s="31">
        <v>197.0426910426971</v>
      </c>
      <c r="D5" s="31">
        <v>203.63451254204494</v>
      </c>
      <c r="E5" s="31">
        <v>210.87413190575285</v>
      </c>
      <c r="F5" s="31">
        <v>218.8642568114526</v>
      </c>
    </row>
    <row r="6" spans="1:6" x14ac:dyDescent="0.25">
      <c r="A6" s="30">
        <v>0.139608</v>
      </c>
      <c r="B6" s="31">
        <v>173.0954013681798</v>
      </c>
      <c r="C6" s="31">
        <v>177.94014134481736</v>
      </c>
      <c r="D6" s="31">
        <v>183.1959274700833</v>
      </c>
      <c r="E6" s="31">
        <v>188.919011953939</v>
      </c>
      <c r="F6" s="31">
        <v>195.1764018644751</v>
      </c>
    </row>
    <row r="7" spans="1:6" x14ac:dyDescent="0.25">
      <c r="A7" s="30">
        <v>0.149608</v>
      </c>
      <c r="B7" s="31">
        <v>157.93595404722967</v>
      </c>
      <c r="C7" s="31">
        <v>161.88310914975494</v>
      </c>
      <c r="D7" s="32">
        <v>166.13670460691938</v>
      </c>
      <c r="E7" s="31">
        <v>170.73517100296138</v>
      </c>
      <c r="F7" s="31">
        <v>175.72364536220005</v>
      </c>
    </row>
    <row r="8" spans="1:6" x14ac:dyDescent="0.25">
      <c r="A8" s="30">
        <v>0.159608</v>
      </c>
      <c r="B8" s="31">
        <v>144.95900007766193</v>
      </c>
      <c r="C8" s="31">
        <v>148.21297113906408</v>
      </c>
      <c r="D8" s="31">
        <v>151.69948603510517</v>
      </c>
      <c r="E8" s="31">
        <v>155.4454579001565</v>
      </c>
      <c r="F8" s="31">
        <v>159.48211951650444</v>
      </c>
    </row>
    <row r="9" spans="1:6" x14ac:dyDescent="0.25">
      <c r="A9" s="30">
        <v>0.169608</v>
      </c>
      <c r="B9" s="31">
        <v>133.7373754614726</v>
      </c>
      <c r="C9" s="31">
        <v>136.4474120330865</v>
      </c>
      <c r="D9" s="31">
        <v>139.33662139240528</v>
      </c>
      <c r="E9" s="31">
        <v>142.42425452658992</v>
      </c>
      <c r="F9" s="31">
        <v>145.73242272637344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215938000000</v>
      </c>
      <c r="C5" s="18">
        <v>130497000000</v>
      </c>
      <c r="D5" s="18">
        <v>60922000000</v>
      </c>
      <c r="E5" s="18">
        <v>26974000000</v>
      </c>
      <c r="F5" s="8" t="s">
        <v>84</v>
      </c>
    </row>
    <row r="6" spans="1:6" x14ac:dyDescent="0.25">
      <c r="A6" t="s">
        <v>44</v>
      </c>
      <c r="B6" s="18">
        <v>130387000000</v>
      </c>
      <c r="C6" s="18">
        <v>81453000000</v>
      </c>
      <c r="D6" s="18">
        <v>32972000000</v>
      </c>
      <c r="E6" s="18">
        <v>5577000000</v>
      </c>
      <c r="F6" s="8" t="s">
        <v>85</v>
      </c>
    </row>
    <row r="7" spans="1:6" x14ac:dyDescent="0.25">
      <c r="A7" t="s">
        <v>86</v>
      </c>
      <c r="B7" s="18">
        <v>2843000000</v>
      </c>
      <c r="C7" s="18">
        <v>1864000000</v>
      </c>
      <c r="D7" s="18">
        <v>1508000000</v>
      </c>
      <c r="E7" s="18">
        <v>1543000000</v>
      </c>
      <c r="F7" s="8" t="s">
        <v>87</v>
      </c>
    </row>
    <row r="8" spans="1:6" x14ac:dyDescent="0.25">
      <c r="A8" t="s">
        <v>88</v>
      </c>
      <c r="B8" s="18">
        <v>6042000000</v>
      </c>
      <c r="C8" s="18">
        <v>3236000000</v>
      </c>
      <c r="D8" s="18">
        <v>1069000000</v>
      </c>
      <c r="E8" s="18">
        <v>1833000000</v>
      </c>
      <c r="F8" s="8" t="s">
        <v>89</v>
      </c>
    </row>
    <row r="9" spans="1:6" x14ac:dyDescent="0.25">
      <c r="A9" t="s">
        <v>90</v>
      </c>
      <c r="B9" s="18">
        <v>15949000000</v>
      </c>
      <c r="C9" s="18">
        <v>9383000000</v>
      </c>
      <c r="D9" s="18">
        <v>3722000000</v>
      </c>
      <c r="E9" s="18">
        <v>2207000000</v>
      </c>
      <c r="F9" s="8" t="s">
        <v>91</v>
      </c>
    </row>
    <row r="10" spans="1:6" x14ac:dyDescent="0.25">
      <c r="A10" t="s">
        <v>92</v>
      </c>
      <c r="B10" s="18">
        <v>11040000000</v>
      </c>
      <c r="C10" s="18">
        <v>9982000000</v>
      </c>
      <c r="D10" s="18">
        <v>11056000000</v>
      </c>
      <c r="E10" s="18">
        <v>12031000000</v>
      </c>
      <c r="F10" s="8" t="s">
        <v>93</v>
      </c>
    </row>
    <row r="11" spans="1:6" x14ac:dyDescent="0.25">
      <c r="A11" t="s">
        <v>94</v>
      </c>
      <c r="B11" s="18">
        <v>62556000000</v>
      </c>
      <c r="C11" s="18">
        <v>43210000000</v>
      </c>
      <c r="D11" s="18">
        <v>25984000000</v>
      </c>
      <c r="E11" s="18">
        <v>13296000000</v>
      </c>
      <c r="F11" s="8" t="s">
        <v>95</v>
      </c>
    </row>
    <row r="12" spans="1:6" x14ac:dyDescent="0.25">
      <c r="A12" t="s">
        <v>32</v>
      </c>
      <c r="B12" s="34">
        <v>24514000000</v>
      </c>
      <c r="C12" s="34">
        <v>24804000000</v>
      </c>
      <c r="D12" s="34">
        <v>24940000000</v>
      </c>
      <c r="E12" s="34">
        <v>25070000000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2026-09-19T00:07:44Z</dcterms:modified>
</cp:coreProperties>
</file>