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<sst xmlns="http://schemas.openxmlformats.org/spreadsheetml/2006/main" count="121" uniqueCount="108">
  <si>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NVIDIA Corporation (NVDA)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</si>
  <si>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</si>
  <si>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</si>
  <si>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</si>
  <si>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</si>
  <si>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</si>
  <si>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</si>
  <si>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</si>
  <si>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</si>
  <si>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</si>
  <si>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</si>
  <si>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</si>
  <si>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</si>
  <si>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</si>
  <si>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</si>
  <si>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</si>
  <si>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</si>
  <si>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</si>
  <si>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</si>
  <si>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</si>
  <si>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</si>
  <si>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</si>
  <si>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</si>
  <si>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</si>
  <si>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503.4x interest cover. Book interest / average debt was lower, at 2.5%.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</si>
  <si>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</si>
  <si>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</si>
  <si>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</si>
  <si>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</si>
  <si>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</si>
  <si>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</si>
  <si>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</si>
  <si>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</si>
  <si>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</si>
  <si>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</si>
  <si>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</si>
  <si>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</si>
  <si>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</si>
  <si>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</si>
  <si>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</si>
  <si>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</si>
  <si>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</si>
  <si>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</si>
  <si>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</si>
  <si>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</si>
  <si>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</si>
  <si>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</si>
  <si>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</si>
  <si>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</si>
  <si>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</si>
  <si>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</si>
  <si>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</si>
  <si>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</si>
  <si>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</si>
  <si>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</si>
  <si>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</si>
  <si>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</si>
  <si>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</si>
  <si>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</si>
  <si>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</si>
  <si>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</si>
  <si>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</si>
  <si>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</si>
  <si>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</si>
  <si>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</si>
  <si>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</si>
  <si>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</si>
  <si>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</si>
  <si>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</si>
  <si>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</si>
  <si>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</si>
  <si>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</si>
  <si>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</si>
  <si>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</si>
  <si>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</si>
  <si>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</si>
  <si>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</si>
  <si>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</si>
  <si>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</si>
  <si>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</si>
  <si>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</si>
  <si>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</si>
  <si>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</si>
  <si>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</si>
  <si>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</si>
  <si>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</si>
  <si>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</si>
  <si>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</si>
  <si>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</si>
  <si>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</si>
  <si>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</si>
  <si>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</si>
  <si>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</si>
  <si>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</si>
  <si>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</si>
  <si>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</si>
  <si>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</si>
  <si>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</si>
  <si>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</si>
  <si>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</si>
  <si>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</si>
  <si>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</si>
  <si>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</si>
  <si>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</si>
  <si>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</si>
  <si>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3.5% of revenue against depreciation of 2.7%.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</si>
  <si>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36.7x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</si>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</sst>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0.4939908487518491</v>
      </c>
    </row>
    <row r="8" spans="1:2" x14ac:dyDescent="0.25">
      <c r="A8" t="s">
        <v>5</v>
      </c>
      <c r="B8" s="5">
        <v>0.13264941803727417</v>
      </c>
    </row>
    <row r="9" spans="1:2" x14ac:dyDescent="0.25">
      <c r="A9" t="s">
        <v>6</v>
      </c>
      <c r="B9" s="5">
        <v>0.027351466232520293</v>
      </c>
    </row>
    <row r="10" spans="1:3" x14ac:dyDescent="0.25">
      <c r="A10" t="s">
        <v>7</v>
      </c>
      <c r="B10" s="5">
        <v>0.034569778062402606</v>
      </c>
      <c r="C10" s="6" t="s">
        <v>8</v>
      </c>
    </row>
    <row r="11" spans="1:2" x14ac:dyDescent="0.25">
      <c r="A11" t="s">
        <v>9</v>
      </c>
      <c r="B11" s="5">
        <v>0.21916914348270114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0.6</v>
      </c>
      <c r="C14" s="6" t="s">
        <v>13</v>
      </c>
    </row>
    <row r="15" spans="1:3" x14ac:dyDescent="0.25">
      <c r="A15" t="s">
        <v>14</v>
      </c>
      <c r="B15" s="5">
        <v>0.022981945802377834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1.8147200000000003</v>
      </c>
      <c r="C19" s="6" t="s">
        <v>21</v>
      </c>
    </row>
    <row r="20" spans="1:2" x14ac:dyDescent="0.25">
      <c r="A20" t="s">
        <v>22</v>
      </c>
      <c r="B20" s="9">
        <f>B17+B19*B18</f>
        <v>0.12570265600000002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4941441662976</v>
      </c>
    </row>
    <row r="23" spans="1:2" x14ac:dyDescent="0.25">
      <c r="A23" t="s">
        <v>26</v>
      </c>
      <c r="B23" s="10">
        <v>11040000000</v>
      </c>
    </row>
    <row r="24" spans="1:2" x14ac:dyDescent="0.25">
      <c r="A24" t="s">
        <v>27</v>
      </c>
      <c r="B24" s="9">
        <f>B22/(B22+B23)</f>
        <v>0.9977708145630233</v>
      </c>
    </row>
    <row r="25" spans="1:2" x14ac:dyDescent="0.25">
      <c r="A25" t="s">
        <v>28</v>
      </c>
      <c r="B25" s="9">
        <f>1-B24</f>
        <v>0.0022291854369766995</v>
      </c>
    </row>
    <row r="26" spans="1:2" x14ac:dyDescent="0.25">
      <c r="A26" t="s">
        <v>29</v>
      </c>
      <c r="B26" s="11">
        <f>B24*B20+B25*B21*(1-B8)</f>
        <v>0.1255248001808998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215938000000</v>
      </c>
      <c r="C29" s="6" t="s">
        <v>32</v>
      </c>
    </row>
    <row r="30" spans="1:2" x14ac:dyDescent="0.25">
      <c r="A30" t="s">
        <v>33</v>
      </c>
      <c r="B30" s="10">
        <v>-51516000000</v>
      </c>
    </row>
    <row r="31" spans="1:2" x14ac:dyDescent="0.25">
      <c r="A31" t="s">
        <v>34</v>
      </c>
      <c r="B31" s="12">
        <v>24514000000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9">
        <f>Assumptions!B6</f>
        <v>0.5</v>
      </c>
      <c r="D5" s="5">
        <v>0.440625</v>
      </c>
      <c r="E5" s="5">
        <v>0.38125</v>
      </c>
      <c r="F5" s="5">
        <v>0.321875</v>
      </c>
      <c r="G5" s="5">
        <v>0.2625</v>
      </c>
      <c r="H5" s="5">
        <v>0.203125</v>
      </c>
      <c r="I5" s="5">
        <v>0.14375000000000004</v>
      </c>
      <c r="J5" s="5">
        <v>0.08437500000000003</v>
      </c>
      <c r="K5" s="5">
        <v>0.025000000000000022</v>
      </c>
    </row>
    <row r="6" spans="1:11" x14ac:dyDescent="0.25">
      <c r="A6" t="s">
        <v>50</v>
      </c>
      <c r="B6" s="18">
        <f>Assumptions!B29*(1+B5)</f>
        <v>323907000000</v>
      </c>
      <c r="C6" s="18">
        <f>B6*(1+C5)</f>
        <v>485860500000</v>
      </c>
      <c r="D6" s="18">
        <f>C6*(1+D5)</f>
        <v>699942782812.5</v>
      </c>
      <c r="E6" s="18">
        <f>D6*(1+E5)</f>
        <v>966795968759.7657</v>
      </c>
      <c r="F6" s="18">
        <f>E6*(1+F5)</f>
        <v>1277983421204.3152</v>
      </c>
      <c r="G6" s="18">
        <f>F6*(1+G5)</f>
        <v>1613454069270.4478</v>
      </c>
      <c r="H6" s="18">
        <f>G6*(1+H5)</f>
        <v>1941186927091.0076</v>
      </c>
      <c r="I6" s="18">
        <f>H6*(1+I5)</f>
        <v>2220232547860.34</v>
      </c>
      <c r="J6" s="18">
        <f>I6*(1+J5)</f>
        <v>2407564669086.056</v>
      </c>
      <c r="K6" s="18">
        <f>J6*(1+K5)</f>
        <v>2467753785813.2075</v>
      </c>
    </row>
    <row r="7" spans="1:11" x14ac:dyDescent="0.25">
      <c r="A7" t="s">
        <v>4</v>
      </c>
      <c r="B7" s="9">
        <f>Assumptions!B7</f>
        <v>0.4939908487518491</v>
      </c>
      <c r="C7" s="9">
        <f>Assumptions!B7</f>
        <v>0.4939908487518491</v>
      </c>
      <c r="D7" s="9">
        <f>Assumptions!B7</f>
        <v>0.4939908487518491</v>
      </c>
      <c r="E7" s="9">
        <f>Assumptions!B7</f>
        <v>0.4939908487518491</v>
      </c>
      <c r="F7" s="9">
        <f>Assumptions!B7</f>
        <v>0.4939908487518491</v>
      </c>
      <c r="G7" s="9">
        <f>Assumptions!B7</f>
        <v>0.4939908487518491</v>
      </c>
      <c r="H7" s="9">
        <f>Assumptions!B7</f>
        <v>0.4939908487518491</v>
      </c>
      <c r="I7" s="9">
        <f>Assumptions!B7</f>
        <v>0.4939908487518491</v>
      </c>
      <c r="J7" s="9">
        <f>Assumptions!B7</f>
        <v>0.4939908487518491</v>
      </c>
      <c r="K7" s="9">
        <f>Assumptions!B7</f>
        <v>0.4939908487518491</v>
      </c>
    </row>
    <row r="8" spans="1:11" x14ac:dyDescent="0.25">
      <c r="A8" t="s">
        <v>51</v>
      </c>
      <c r="B8" s="18">
        <f>B6*B7</f>
        <v>160007093846.6652</v>
      </c>
      <c r="C8" s="18">
        <f>C6*C7</f>
        <v>240010640769.9978</v>
      </c>
      <c r="D8" s="18">
        <f>D6*D7</f>
        <v>345765329359.2781</v>
      </c>
      <c r="E8" s="18">
        <f>E6*E7</f>
        <v>477588361177.50287</v>
      </c>
      <c r="F8" s="18">
        <f>F6*F7</f>
        <v>631312114931.5116</v>
      </c>
      <c r="G8" s="18">
        <f>G6*G7</f>
        <v>797031545101.0332</v>
      </c>
      <c r="H8" s="18">
        <f>H6*H7</f>
        <v>958928577699.6807</v>
      </c>
      <c r="I8" s="18">
        <f>I6*I7</f>
        <v>1096774560744.0098</v>
      </c>
      <c r="J8" s="18">
        <f>J6*J7</f>
        <v>1189314914306.7856</v>
      </c>
      <c r="K8" s="18">
        <f>K6*K7</f>
        <v>1219047787164.4553</v>
      </c>
    </row>
    <row r="9" spans="1:11" x14ac:dyDescent="0.25">
      <c r="A9" t="s">
        <v>52</v>
      </c>
      <c r="B9" s="18">
        <f>B8*(1-Assumptions!B8)</f>
        <v>138782245966.06955</v>
      </c>
      <c r="C9" s="18">
        <f>C8*(1-Assumptions!B8)</f>
        <v>208173368949.10434</v>
      </c>
      <c r="D9" s="18">
        <f>D8*(1-Assumptions!B8)</f>
        <v>299899759642.3034</v>
      </c>
      <c r="E9" s="18">
        <f>E8*(1-Assumptions!B8)</f>
        <v>414236543005.93164</v>
      </c>
      <c r="F9" s="18">
        <f>F8*(1-Assumptions!B8)</f>
        <v>547568930285.9659</v>
      </c>
      <c r="G9" s="18">
        <f>G8*(1-Assumptions!B8)</f>
        <v>691305774486.0317</v>
      </c>
      <c r="H9" s="18">
        <f>H8*(1-Assumptions!B8)</f>
        <v>831727259928.507</v>
      </c>
      <c r="I9" s="18">
        <f>I8*(1-Assumptions!B8)</f>
        <v>951288053543.2299</v>
      </c>
      <c r="J9" s="18">
        <f>J8*(1-Assumptions!B8)</f>
        <v>1031552983060.94</v>
      </c>
      <c r="K9" s="18">
        <f>K8*(1-Assumptions!B8)</f>
        <v>1057341807637.4635</v>
      </c>
    </row>
    <row r="10" spans="1:11" x14ac:dyDescent="0.25">
      <c r="A10" t="s">
        <v>53</v>
      </c>
      <c r="B10" s="18">
        <f>B6*Assumptions!B9</f>
        <v>8859331372.97695</v>
      </c>
      <c r="C10" s="18">
        <f>C6*Assumptions!B9</f>
        <v>13288997059.465425</v>
      </c>
      <c r="D10" s="18">
        <f>D6*Assumptions!B9</f>
        <v>19144461388.792377</v>
      </c>
      <c r="E10" s="18">
        <f>E6*Assumptions!B9</f>
        <v>26443287293.269478</v>
      </c>
      <c r="F10" s="18">
        <f>F6*Assumptions!B9</f>
        <v>34954720390.79059</v>
      </c>
      <c r="G10" s="18">
        <f>G6*Assumptions!B9</f>
        <v>44130334493.37311</v>
      </c>
      <c r="H10" s="18">
        <f>H6*Assumptions!B9</f>
        <v>53094308687.33952</v>
      </c>
      <c r="I10" s="18">
        <f>I6*Assumptions!B9</f>
        <v>60726615561.14458</v>
      </c>
      <c r="J10" s="18">
        <f>J6*Assumptions!B9</f>
        <v>65850423749.11616</v>
      </c>
      <c r="K10" s="18">
        <f>K6*Assumptions!B9</f>
        <v>67496684342.84406</v>
      </c>
    </row>
    <row r="11" spans="1:11" x14ac:dyDescent="0.25">
      <c r="A11" t="s">
        <v>54</v>
      </c>
      <c r="B11" s="18">
        <f>-B6*B19</f>
        <v>-11197393102.85864</v>
      </c>
      <c r="C11" s="18">
        <f>-C6*C19</f>
        <v>-17142816761.683525</v>
      </c>
      <c r="D11" s="18">
        <f>-D6*D19</f>
        <v>-25195874136.392063</v>
      </c>
      <c r="E11" s="18">
        <f>-E6*E19</f>
        <v>-35491740690.51201</v>
      </c>
      <c r="F11" s="18">
        <f>-F6*F19</f>
        <v>-47827658554.206345</v>
      </c>
      <c r="G11" s="18">
        <f>-G6*G19</f>
        <v>-61533836383.71694</v>
      </c>
      <c r="H11" s="18">
        <f>-H6*H19</f>
        <v>-75418196029.55666</v>
      </c>
      <c r="I11" s="18">
        <f>-I6*I19</f>
        <v>-87843997589.19724</v>
      </c>
      <c r="J11" s="18">
        <f>-J6*J19</f>
        <v>-96973957543.5856</v>
      </c>
      <c r="K11" s="18">
        <f>-K6*K19</f>
        <v>-101159382206.42009</v>
      </c>
    </row>
    <row r="12" spans="1:11" x14ac:dyDescent="0.25">
      <c r="A12" t="s">
        <v>55</v>
      </c>
      <c r="B12" s="18">
        <f>-(B6-Assumptions!B29)*Assumptions!B11</f>
        <v>-23663473252.683758</v>
      </c>
      <c r="C12" s="18">
        <f>-(C6-B6)*Assumptions!B11</f>
        <v>-35495209879.02564</v>
      </c>
      <c r="D12" s="18">
        <f>-(D6-C6)*Assumptions!B11</f>
        <v>-46920230558.83701</v>
      </c>
      <c r="E12" s="18">
        <f>-(E6-D6)*Assumptions!B11</f>
        <v>-58485984199.692215</v>
      </c>
      <c r="F12" s="18">
        <f>-(F6-E6)*Assumptions!B11</f>
        <v>-68202687414.83569</v>
      </c>
      <c r="G12" s="18">
        <f>-(G6-F6)*Assumptions!B11</f>
        <v>-73524814600.24095</v>
      </c>
      <c r="H12" s="18">
        <f>-(H6-G6)*Assumptions!B11</f>
        <v>-71828929739.66997</v>
      </c>
      <c r="I12" s="18">
        <f>-(I6-H6)*Assumptions!B11</f>
        <v>-61158189696.6132</v>
      </c>
      <c r="J12" s="18">
        <f>-(J6-I6)*Assumptions!B11</f>
        <v>-41057420555.83778</v>
      </c>
      <c r="K12" s="18">
        <f>-(K6-J6)*Assumptions!B11</f>
        <v>-13191597160.070086</v>
      </c>
    </row>
    <row r="13" spans="1:11" x14ac:dyDescent="0.25">
      <c r="A13" s="19" t="s">
        <v>56</v>
      </c>
      <c r="B13" s="20">
        <f>B9+B10+B11+B12</f>
        <v>112780710983.5041</v>
      </c>
      <c r="C13" s="20">
        <f>C9+C10+C11+C12</f>
        <v>168824339367.8606</v>
      </c>
      <c r="D13" s="20">
        <f>D9+D10+D11+D12</f>
        <v>246928116335.86667</v>
      </c>
      <c r="E13" s="20">
        <f>E9+E10+E11+E12</f>
        <v>346702105408.9969</v>
      </c>
      <c r="F13" s="20">
        <f>F9+F10+F11+F12</f>
        <v>466493304707.7144</v>
      </c>
      <c r="G13" s="20">
        <f>G9+G10+G11+G12</f>
        <v>600377457995.4469</v>
      </c>
      <c r="H13" s="20">
        <f>H9+H10+H11+H12</f>
        <v>737574442846.6199</v>
      </c>
      <c r="I13" s="20">
        <f>I9+I10+I11+I12</f>
        <v>863012481818.564</v>
      </c>
      <c r="J13" s="20">
        <f>J9+J10+J11+J12</f>
        <v>959372028710.6328</v>
      </c>
      <c r="K13" s="20">
        <f>K9+K10+K11+K12</f>
        <v>1010487512613.8175</v>
      </c>
    </row>
    <row r="14" spans="1:11" x14ac:dyDescent="0.25">
      <c r="A14" t="s">
        <v>57</v>
      </c>
      <c r="B14" s="21">
        <f>1/(1+Assumptions!$B$26)^(1-0.5*Assumptions!$B$32)</f>
        <v>0.9425892134427163</v>
      </c>
      <c r="C14" s="21">
        <f>1/(1+Assumptions!$B$26)^(2-0.5*Assumptions!$B$32)</f>
        <v>0.8374664097061378</v>
      </c>
      <c r="D14" s="21">
        <f>1/(1+Assumptions!$B$26)^(3-0.5*Assumptions!$B$32)</f>
        <v>0.7440674870705082</v>
      </c>
      <c r="E14" s="21">
        <f>1/(1+Assumptions!$B$26)^(4-0.5*Assumptions!$B$32)</f>
        <v>0.6610849329583125</v>
      </c>
      <c r="F14" s="21">
        <f>1/(1+Assumptions!$B$26)^(5-0.5*Assumptions!$B$32)</f>
        <v>0.5873570558836728</v>
      </c>
      <c r="G14" s="21">
        <f>1/(1+Assumptions!$B$26)^(6-0.5*Assumptions!$B$32)</f>
        <v>0.5218517226712996</v>
      </c>
      <c r="H14" s="21">
        <f>1/(1+Assumptions!$B$26)^(7-0.5*Assumptions!$B$32)</f>
        <v>0.46365190939144585</v>
      </c>
      <c r="I14" s="21">
        <f>1/(1+Assumptions!$B$26)^(8-0.5*Assumptions!$B$32)</f>
        <v>0.4119428637351442</v>
      </c>
      <c r="J14" s="21">
        <f>1/(1+Assumptions!$B$26)^(9-0.5*Assumptions!$B$32)</f>
        <v>0.36600069911292477</v>
      </c>
      <c r="K14" s="21">
        <f>1/(1+Assumptions!$B$26)^(10-0.5*Assumptions!$B$32)</f>
        <v>0.32518226080322654</v>
      </c>
    </row>
    <row r="15" spans="1:11" x14ac:dyDescent="0.25">
      <c r="A15" s="19" t="s">
        <v>58</v>
      </c>
      <c r="B15" s="20">
        <f>B13*B14</f>
        <v>106305881657.45145</v>
      </c>
      <c r="C15" s="20">
        <f>C13*C14</f>
        <v>141384713361.4128</v>
      </c>
      <c r="D15" s="20">
        <f>D13*D14</f>
        <v>183731183009.08243</v>
      </c>
      <c r="E15" s="20">
        <f>E13*E14</f>
        <v>229199538110.8125</v>
      </c>
      <c r="F15" s="20">
        <f>F13*F14</f>
        <v>273998134042.56824</v>
      </c>
      <c r="G15" s="20">
        <f>G13*G14</f>
        <v>313308010707.9398</v>
      </c>
      <c r="H15" s="20">
        <f>H13*H14</f>
        <v>341977798744.1672</v>
      </c>
      <c r="I15" s="20">
        <f>I13*I14</f>
        <v>355511833199.5133</v>
      </c>
      <c r="J15" s="20">
        <f>J13*J14</f>
        <v>351130833217.47656</v>
      </c>
      <c r="K15" s="20">
        <f>K13*K14</f>
        <v>328592613865.19006</v>
      </c>
    </row>
    <row r="17" spans="1:2" x14ac:dyDescent="0.25">
      <c r="A17" s="22" t="s">
        <v>59</v>
      </c>
      <c r="B17" s="23">
        <f>SUM(B15:K15)</f>
        <v>2625140539915.6143</v>
      </c>
    </row>
    <row r="19" spans="1:11" x14ac:dyDescent="0.25">
      <c r="A19" t="s">
        <v>7</v>
      </c>
      <c r="B19" s="9">
        <f>Assumptions!$B$10+($B$20-Assumptions!$B$10)*0/9</f>
        <v>0.034569778062402606</v>
      </c>
      <c r="C19" s="9">
        <f>Assumptions!$B$10+($B$20-Assumptions!$B$10)*1/9</f>
        <v>0.03528341316423855</v>
      </c>
      <c r="D19" s="9">
        <f>Assumptions!$B$10+($B$20-Assumptions!$B$10)*2/9</f>
        <v>0.0359970482660745</v>
      </c>
      <c r="E19" s="9">
        <f>Assumptions!$B$10+($B$20-Assumptions!$B$10)*3/9</f>
        <v>0.03671068336791045</v>
      </c>
      <c r="F19" s="9">
        <f>Assumptions!$B$10+($B$20-Assumptions!$B$10)*4/9</f>
        <v>0.0374243184697464</v>
      </c>
      <c r="G19" s="9">
        <f>Assumptions!$B$10+($B$20-Assumptions!$B$10)*5/9</f>
        <v>0.038137953571582346</v>
      </c>
      <c r="H19" s="9">
        <f>Assumptions!$B$10+($B$20-Assumptions!$B$10)*6/9</f>
        <v>0.03885158867341829</v>
      </c>
      <c r="I19" s="9">
        <f>Assumptions!$B$10+($B$20-Assumptions!$B$10)*7/9</f>
        <v>0.039565223775254246</v>
      </c>
      <c r="J19" s="9">
        <f>Assumptions!$B$10+($B$20-Assumptions!$B$10)*8/9</f>
        <v>0.04027885887709019</v>
      </c>
      <c r="K19" s="9">
        <f>Assumptions!$B$10+($B$20-Assumptions!$B$10)*9/9</f>
        <v>0.04099249397892614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0.04099249397892614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1010487512613.8175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1066694362733.9578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0.04166666666666667</v>
      </c>
    </row>
    <row r="7" spans="1:2" x14ac:dyDescent="0.25">
      <c r="A7" t="s">
        <v>66</v>
      </c>
      <c r="B7" s="18">
        <f>-MAX(B5,0)*B6</f>
        <v>-44445598447.248245</v>
      </c>
    </row>
    <row r="8" spans="1:2" x14ac:dyDescent="0.25">
      <c r="A8" t="s">
        <v>67</v>
      </c>
      <c r="B8" s="18">
        <f>IF(OR(Assumptions!$B$33=0,Assumptions!B12&lt;=0),B5,MAX(B5+B7,0))</f>
        <v>1022248764286.7095</v>
      </c>
    </row>
    <row r="9" spans="1:2" x14ac:dyDescent="0.25">
      <c r="A9" t="s">
        <v>68</v>
      </c>
      <c r="B9" s="18">
        <f>B8*(1+Assumptions!B12)/(Assumptions!B26-Assumptions!B12)</f>
        <v>10423348084336.36</v>
      </c>
    </row>
    <row r="10" spans="1:2" x14ac:dyDescent="0.25">
      <c r="A10" t="s">
        <v>69</v>
      </c>
      <c r="B10" s="18">
        <f>B9/(1+Assumptions!B26)^(10-0.5*Assumptions!B32)</f>
        <v>3389487895203.4775</v>
      </c>
    </row>
    <row r="11" spans="1:2" x14ac:dyDescent="0.25">
      <c r="A11" t="s">
        <v>70</v>
      </c>
      <c r="B11" s="18">
        <f>Forecast!B17+B10</f>
        <v>6014628435119.092</v>
      </c>
    </row>
    <row r="12" spans="1:2" x14ac:dyDescent="0.25">
      <c r="A12" t="s">
        <v>71</v>
      </c>
      <c r="B12" s="18">
        <f>-Assumptions!B30</f>
        <v>51516000000</v>
      </c>
    </row>
    <row r="13" spans="1:2" x14ac:dyDescent="0.25">
      <c r="A13" t="s">
        <v>72</v>
      </c>
      <c r="B13" s="18">
        <f>B11+B12</f>
        <v>6066144435119.092</v>
      </c>
    </row>
    <row r="14" spans="1:2" x14ac:dyDescent="0.25">
      <c r="A14" s="19" t="s">
        <v>73</v>
      </c>
      <c r="B14" s="24">
        <f>B13/Assumptions!B31</f>
        <v>247.45632842943184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1286544471507.2993</v>
      </c>
    </row>
    <row r="18" spans="1:2" x14ac:dyDescent="0.25">
      <c r="A18" t="s">
        <v>68</v>
      </c>
      <c r="B18" s="18">
        <f>B17*Assumptions!B13</f>
        <v>25730889430145.984</v>
      </c>
    </row>
    <row r="19" spans="1:2" x14ac:dyDescent="0.25">
      <c r="A19" t="s">
        <v>69</v>
      </c>
      <c r="B19" s="18">
        <f>B18/(1+Assumptions!B26)^(10-0.5*Assumptions!B32)</f>
        <v>8367228797372.717</v>
      </c>
    </row>
    <row r="20" spans="1:2" x14ac:dyDescent="0.25">
      <c r="A20" t="s">
        <v>70</v>
      </c>
      <c r="B20" s="18">
        <f>Forecast!B17+B19</f>
        <v>10992369337288.332</v>
      </c>
    </row>
    <row r="21" spans="1:2" x14ac:dyDescent="0.25">
      <c r="A21" t="s">
        <v>71</v>
      </c>
      <c r="B21" s="18">
        <f>-Assumptions!B30</f>
        <v>51516000000</v>
      </c>
    </row>
    <row r="22" spans="1:2" x14ac:dyDescent="0.25">
      <c r="A22" t="s">
        <v>72</v>
      </c>
      <c r="B22" s="18">
        <f>B20+B21</f>
        <v>11043885337288.332</v>
      </c>
    </row>
    <row r="23" spans="1:2" x14ac:dyDescent="0.25">
      <c r="A23" s="19" t="s">
        <v>73</v>
      </c>
      <c r="B23" s="25">
        <f>B22/Assumptions!B31</f>
        <v>450.5133938683337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204.64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247.45632842943184</v>
      </c>
    </row>
    <row r="29" spans="1:2" x14ac:dyDescent="0.25">
      <c r="A29" s="19" t="s">
        <v>81</v>
      </c>
      <c r="B29" s="11">
        <f>B28/B26-1</f>
        <v>0.20922756269268894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0.105525</v>
      </c>
      <c r="B5" s="31">
        <v>306.0269693858754</v>
      </c>
      <c r="C5" s="31">
        <v>315.3591070727468</v>
      </c>
      <c r="D5" s="31">
        <v>325.91716928425654</v>
      </c>
      <c r="E5" s="31">
        <v>337.9446365615447</v>
      </c>
      <c r="F5" s="31">
        <v>351.7540374545816</v>
      </c>
    </row>
    <row r="6" spans="1:6" x14ac:dyDescent="0.25">
      <c r="A6" s="30">
        <v>0.115525</v>
      </c>
      <c r="B6" s="31">
        <v>267.9036531427734</v>
      </c>
      <c r="C6" s="31">
        <v>274.6181988327394</v>
      </c>
      <c r="D6" s="31">
        <v>282.1307064425182</v>
      </c>
      <c r="E6" s="31">
        <v>290.5811283696216</v>
      </c>
      <c r="F6" s="31">
        <v>300.14417699852476</v>
      </c>
    </row>
    <row r="7" spans="1:6" x14ac:dyDescent="0.25">
      <c r="A7" s="30">
        <v>0.125525</v>
      </c>
      <c r="B7" s="31">
        <v>237.0813668169614</v>
      </c>
      <c r="C7" s="31">
        <v>241.99999123577425</v>
      </c>
      <c r="D7" s="32">
        <v>247.45570829323725</v>
      </c>
      <c r="E7" s="31">
        <v>253.53285601164598</v>
      </c>
      <c r="F7" s="31">
        <v>260.3344055030044</v>
      </c>
    </row>
    <row r="8" spans="1:6" x14ac:dyDescent="0.25">
      <c r="A8" s="30">
        <v>0.135525</v>
      </c>
      <c r="B8" s="31">
        <v>211.71766566787753</v>
      </c>
      <c r="C8" s="31">
        <v>215.37032376984868</v>
      </c>
      <c r="D8" s="31">
        <v>219.39453534295788</v>
      </c>
      <c r="E8" s="31">
        <v>223.8431153795489</v>
      </c>
      <c r="F8" s="31">
        <v>228.77938670431436</v>
      </c>
    </row>
    <row r="9" spans="1:6" x14ac:dyDescent="0.25">
      <c r="A9" s="30">
        <v>0.145525</v>
      </c>
      <c r="B9" s="31">
        <v>190.53657347775857</v>
      </c>
      <c r="C9" s="31">
        <v>193.27691676487933</v>
      </c>
      <c r="D9" s="31">
        <v>196.280235158068</v>
      </c>
      <c r="E9" s="31">
        <v>199.58067387776197</v>
      </c>
      <c r="F9" s="31">
        <v>203.21855687689106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215938000000</v>
      </c>
      <c r="C5" s="18">
        <v>130497000000</v>
      </c>
      <c r="D5" s="18">
        <v>60922000000</v>
      </c>
      <c r="E5" s="18">
        <v>26974000000</v>
      </c>
      <c r="F5" s="6" t="s">
        <v>91</v>
      </c>
    </row>
    <row r="6" spans="1:6" x14ac:dyDescent="0.25">
      <c r="A6" t="s">
        <v>51</v>
      </c>
      <c r="B6" s="18">
        <v>130387000000</v>
      </c>
      <c r="C6" s="18">
        <v>81453000000</v>
      </c>
      <c r="D6" s="18">
        <v>32972000000</v>
      </c>
      <c r="E6" s="18">
        <v>5577000000</v>
      </c>
      <c r="F6" s="6" t="s">
        <v>92</v>
      </c>
    </row>
    <row r="7" spans="1:6" x14ac:dyDescent="0.25">
      <c r="A7" t="s">
        <v>93</v>
      </c>
      <c r="B7" s="18">
        <v>2843000000</v>
      </c>
      <c r="C7" s="18">
        <v>1864000000</v>
      </c>
      <c r="D7" s="18">
        <v>1508000000</v>
      </c>
      <c r="E7" s="18">
        <v>1543000000</v>
      </c>
      <c r="F7" s="6" t="s">
        <v>94</v>
      </c>
    </row>
    <row r="8" spans="1:6" x14ac:dyDescent="0.25">
      <c r="A8" t="s">
        <v>95</v>
      </c>
      <c r="B8" s="18">
        <v>6042000000</v>
      </c>
      <c r="C8" s="18">
        <v>3236000000</v>
      </c>
      <c r="D8" s="18">
        <v>1069000000</v>
      </c>
      <c r="E8" s="18">
        <v>1833000000</v>
      </c>
      <c r="F8" s="6" t="s">
        <v>96</v>
      </c>
    </row>
    <row r="9" spans="1:6" x14ac:dyDescent="0.25">
      <c r="A9" t="s">
        <v>97</v>
      </c>
      <c r="B9" s="18">
        <v>15949000000</v>
      </c>
      <c r="C9" s="18">
        <v>9383000000</v>
      </c>
      <c r="D9" s="18">
        <v>3722000000</v>
      </c>
      <c r="E9" s="18">
        <v>2207000000</v>
      </c>
      <c r="F9" s="6" t="s">
        <v>98</v>
      </c>
    </row>
    <row r="10" spans="1:6" x14ac:dyDescent="0.25">
      <c r="A10" t="s">
        <v>99</v>
      </c>
      <c r="B10" s="18">
        <v>11040000000</v>
      </c>
      <c r="C10" s="18">
        <v>9982000000</v>
      </c>
      <c r="D10" s="18">
        <v>11056000000</v>
      </c>
      <c r="E10" s="18">
        <v>12031000000</v>
      </c>
      <c r="F10" s="6" t="s">
        <v>100</v>
      </c>
    </row>
    <row r="11" spans="1:6" x14ac:dyDescent="0.25">
      <c r="A11" t="s">
        <v>101</v>
      </c>
      <c r="B11" s="18">
        <v>62556000000</v>
      </c>
      <c r="C11" s="18">
        <v>43210000000</v>
      </c>
      <c r="D11" s="18">
        <v>25984000000</v>
      </c>
      <c r="E11" s="18">
        <v>13296000000</v>
      </c>
      <c r="F11" s="6" t="s">
        <v>102</v>
      </c>
    </row>
    <row r="12" spans="1:6" x14ac:dyDescent="0.25">
      <c r="A12" t="s">
        <v>34</v>
      </c>
      <c r="B12" s="34">
        <v>24514000000</v>
      </c>
      <c r="C12" s="34">
        <v>24804000000</v>
      </c>
      <c r="D12" s="34">
        <v>24940000000</v>
      </c>
      <c r="E12" s="34">
        <v>25070000000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