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<sst xmlns="http://schemas.openxmlformats.org/spreadsheetml/2006/main" count="121" uniqueCount="108">
  <si>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NVR, Inc. (NVR)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</si>
  <si>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</si>
  <si>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</si>
  <si>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</si>
  <si>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</si>
  <si>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</si>
  <si>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</si>
  <si>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</si>
  <si>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</si>
  <si>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</si>
  <si>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</si>
  <si>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</si>
  <si>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</si>
  <si>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</si>
  <si>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</si>
  <si>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</si>
  <si>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</si>
  <si>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</si>
  <si>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</si>
  <si>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</si>
  <si>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</si>
  <si>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</si>
  <si>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</si>
  <si>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</si>
  <si>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58.6x interest cover. Book interest / average debt was lower, at 2.8%.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</si>
  <si>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</si>
  <si>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</si>
  <si>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</si>
  <si>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</si>
  <si>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</si>
  <si>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</si>
  <si>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</si>
  <si>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</si>
  <si>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</si>
  <si>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</si>
  <si>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</si>
  <si>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</si>
  <si>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</si>
  <si>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</si>
  <si>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</si>
  <si>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</si>
  <si>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</si>
  <si>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</si>
  <si>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</si>
  <si>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</si>
  <si>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</si>
  <si>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</si>
  <si>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</si>
  <si>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</si>
  <si>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</si>
  <si>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</si>
  <si>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</si>
  <si>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</si>
  <si>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</si>
  <si>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</si>
  <si>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</si>
  <si>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</si>
  <si>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</si>
  <si>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</si>
  <si>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</si>
  <si>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</si>
  <si>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</si>
  <si>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</si>
  <si>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</si>
  <si>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</si>
  <si>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</si>
  <si>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</si>
  <si>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</si>
  <si>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</si>
  <si>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</si>
  <si>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</si>
  <si>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</si>
  <si>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</si>
  <si>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</si>
  <si>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</si>
  <si>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</si>
  <si>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</si>
  <si>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</si>
  <si>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</si>
  <si>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</si>
  <si>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</si>
  <si>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</si>
  <si>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</si>
  <si>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</si>
  <si>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</si>
  <si>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</si>
  <si>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</si>
  <si>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</si>
  <si>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</si>
  <si>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</si>
  <si>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</si>
  <si>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</si>
  <si>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</si>
  <si>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</si>
  <si>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</si>
  <si>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</si>
  <si>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</si>
  <si>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</si>
  <si>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</si>
  <si>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</si>
  <si>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</si>
  <si>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</si>
  <si>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</si>
  <si>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</si>
  <si>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</si>
  <si>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0.24%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</si>
  <si>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0.2%.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</si>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</sst>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-0.14362475941188446</v>
      </c>
    </row>
    <row r="7" spans="1:2" x14ac:dyDescent="0.25">
      <c r="A7" t="s">
        <v>4</v>
      </c>
      <c r="B7" s="5">
        <v>0.18879974258552576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0.0018844025601809614</v>
      </c>
    </row>
    <row r="10" spans="1:3" x14ac:dyDescent="0.25">
      <c r="A10" t="s">
        <v>7</v>
      </c>
      <c r="B10" s="5">
        <v>0.01</v>
      </c>
      <c r="C10" s="6" t="s">
        <v>8</v>
      </c>
    </row>
    <row r="11" spans="1:2" x14ac:dyDescent="0.25">
      <c r="A11" t="s">
        <v>9</v>
      </c>
      <c r="B11" s="5">
        <v>0.14864364312880413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8.80738446565233</v>
      </c>
    </row>
    <row r="14" spans="1:3" x14ac:dyDescent="0.25">
      <c r="A14" t="s">
        <v>12</v>
      </c>
      <c r="B14" s="5">
        <v>0.29356504405537287</v>
      </c>
      <c r="C14" s="6" t="s">
        <v>13</v>
      </c>
    </row>
    <row r="15" spans="1:3" x14ac:dyDescent="0.25">
      <c r="A15" t="s">
        <v>14</v>
      </c>
      <c r="B15" s="5">
        <v>0.0018844025601809614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0.9343400000000001</v>
      </c>
      <c r="C19" s="6" t="s">
        <v>21</v>
      </c>
    </row>
    <row r="20" spans="1:2" x14ac:dyDescent="0.25">
      <c r="A20" t="s">
        <v>22</v>
      </c>
      <c r="B20" s="9">
        <f>B17+B19*B18</f>
        <v>0.08846258200000001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15957935104</v>
      </c>
    </row>
    <row r="23" spans="1:2" x14ac:dyDescent="0.25">
      <c r="A23" t="s">
        <v>26</v>
      </c>
      <c r="B23" s="10">
        <v>1052893000</v>
      </c>
    </row>
    <row r="24" spans="1:2" x14ac:dyDescent="0.25">
      <c r="A24" t="s">
        <v>27</v>
      </c>
      <c r="B24" s="9">
        <f>B22/(B22+B23)</f>
        <v>0.9381045417916828</v>
      </c>
    </row>
    <row r="25" spans="1:2" x14ac:dyDescent="0.25">
      <c r="A25" t="s">
        <v>28</v>
      </c>
      <c r="B25" s="9">
        <f>1-B24</f>
        <v>0.06189545820831721</v>
      </c>
    </row>
    <row r="26" spans="1:2" x14ac:dyDescent="0.25">
      <c r="A26" t="s">
        <v>29</v>
      </c>
      <c r="B26" s="11">
        <f>B24*B20+B25*B21*(1-B8)</f>
        <v>0.08557577894328235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10341845000</v>
      </c>
      <c r="C29" s="6" t="s">
        <v>32</v>
      </c>
    </row>
    <row r="30" spans="1:2" x14ac:dyDescent="0.25">
      <c r="A30" t="s">
        <v>33</v>
      </c>
      <c r="B30" s="10">
        <v>-863593000</v>
      </c>
    </row>
    <row r="31" spans="1:2" x14ac:dyDescent="0.25">
      <c r="A31" t="s">
        <v>34</v>
      </c>
      <c r="B31" s="12">
        <v>3069000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-0.14362475941188446</v>
      </c>
      <c r="C5" s="5">
        <v>-0.013422345170214012</v>
      </c>
      <c r="D5" s="5">
        <v>-0.008619552023937261</v>
      </c>
      <c r="E5" s="5">
        <v>-0.0038167588776605085</v>
      </c>
      <c r="F5" s="5">
        <v>0.000986034268616244</v>
      </c>
      <c r="G5" s="5">
        <v>0.005788827414892995</v>
      </c>
      <c r="H5" s="5">
        <v>0.010591620561169746</v>
      </c>
      <c r="I5" s="5">
        <v>0.0153944137074465</v>
      </c>
      <c r="J5" s="5">
        <v>0.020197206853723247</v>
      </c>
      <c r="K5" s="5">
        <v>0.025</v>
      </c>
    </row>
    <row r="6" spans="1:11" x14ac:dyDescent="0.25">
      <c r="A6" t="s">
        <v>50</v>
      </c>
      <c r="B6" s="18">
        <f>Assumptions!B29*(1+B5)</f>
        <v>8856500000</v>
      </c>
      <c r="C6" s="18">
        <f>B6*(1+C5)</f>
        <v>8737625000</v>
      </c>
      <c r="D6" s="18">
        <f>C6*(1+D5)</f>
        <v>8662310586.746845</v>
      </c>
      <c r="E6" s="18">
        <f>D6*(1+E5)</f>
        <v>8629248635.913826</v>
      </c>
      <c r="F6" s="18">
        <f>E6*(1+F5)</f>
        <v>8637757370.781248</v>
      </c>
      <c r="G6" s="18">
        <f>F6*(1+G5)</f>
        <v>8687759857.45242</v>
      </c>
      <c r="H6" s="18">
        <f>G6*(1+H5)</f>
        <v>8779777313.389118</v>
      </c>
      <c r="I6" s="18">
        <f>H6*(1+I5)</f>
        <v>8914936837.610683</v>
      </c>
      <c r="J6" s="18">
        <f>I6*(1+J5)</f>
        <v>9094993661.007784</v>
      </c>
      <c r="K6" s="18">
        <f>J6*(1+K5)</f>
        <v>9322368502.532978</v>
      </c>
    </row>
    <row r="7" spans="1:11" x14ac:dyDescent="0.25">
      <c r="A7" t="s">
        <v>4</v>
      </c>
      <c r="B7" s="9">
        <f>Assumptions!B7</f>
        <v>0.18879974258552576</v>
      </c>
      <c r="C7" s="9">
        <f>Assumptions!B7</f>
        <v>0.18879974258552576</v>
      </c>
      <c r="D7" s="9">
        <f>Assumptions!B7</f>
        <v>0.18879974258552576</v>
      </c>
      <c r="E7" s="9">
        <f>Assumptions!B7</f>
        <v>0.18879974258552576</v>
      </c>
      <c r="F7" s="9">
        <f>Assumptions!B7</f>
        <v>0.18879974258552576</v>
      </c>
      <c r="G7" s="9">
        <f>Assumptions!B7</f>
        <v>0.18879974258552576</v>
      </c>
      <c r="H7" s="9">
        <f>Assumptions!B7</f>
        <v>0.18879974258552576</v>
      </c>
      <c r="I7" s="9">
        <f>Assumptions!B7</f>
        <v>0.18879974258552576</v>
      </c>
      <c r="J7" s="9">
        <f>Assumptions!B7</f>
        <v>0.18879974258552576</v>
      </c>
      <c r="K7" s="9">
        <f>Assumptions!B7</f>
        <v>0.18879974258552576</v>
      </c>
    </row>
    <row r="8" spans="1:11" x14ac:dyDescent="0.25">
      <c r="A8" t="s">
        <v>51</v>
      </c>
      <c r="B8" s="18">
        <f>B6*B7</f>
        <v>1672104920.208709</v>
      </c>
      <c r="C8" s="18">
        <f>C6*C7</f>
        <v>1649661350.8088546</v>
      </c>
      <c r="D8" s="18">
        <f>D6*D7</f>
        <v>1635442008.973679</v>
      </c>
      <c r="E8" s="18">
        <f>E6*E7</f>
        <v>1629199921.1670296</v>
      </c>
      <c r="F8" s="18">
        <f>F6*F7</f>
        <v>1630806368.1197274</v>
      </c>
      <c r="G8" s="18">
        <f>G6*G7</f>
        <v>1640246824.7318807</v>
      </c>
      <c r="H8" s="18">
        <f>H6*H7</f>
        <v>1657619696.7261045</v>
      </c>
      <c r="I8" s="18">
        <f>I6*I7</f>
        <v>1683137780.1071181</v>
      </c>
      <c r="J8" s="18">
        <f>J6*J7</f>
        <v>1717132462.015258</v>
      </c>
      <c r="K8" s="18">
        <f>K6*K7</f>
        <v>1760060773.5656395</v>
      </c>
    </row>
    <row r="9" spans="1:11" x14ac:dyDescent="0.25">
      <c r="A9" t="s">
        <v>52</v>
      </c>
      <c r="B9" s="18">
        <f>B8*(1-Assumptions!B8)</f>
        <v>1320962886.9648802</v>
      </c>
      <c r="C9" s="18">
        <f>C8*(1-Assumptions!B8)</f>
        <v>1303232467.1389952</v>
      </c>
      <c r="D9" s="18">
        <f>D8*(1-Assumptions!B8)</f>
        <v>1291999187.0892065</v>
      </c>
      <c r="E9" s="18">
        <f>E8*(1-Assumptions!B8)</f>
        <v>1287067937.7219534</v>
      </c>
      <c r="F9" s="18">
        <f>F8*(1-Assumptions!B8)</f>
        <v>1288337030.8145847</v>
      </c>
      <c r="G9" s="18">
        <f>G8*(1-Assumptions!B8)</f>
        <v>1295794991.5381858</v>
      </c>
      <c r="H9" s="18">
        <f>H8*(1-Assumptions!B8)</f>
        <v>1309519560.4136226</v>
      </c>
      <c r="I9" s="18">
        <f>I8*(1-Assumptions!B8)</f>
        <v>1329678846.2846234</v>
      </c>
      <c r="J9" s="18">
        <f>J8*(1-Assumptions!B8)</f>
        <v>1356534644.992054</v>
      </c>
      <c r="K9" s="18">
        <f>K8*(1-Assumptions!B8)</f>
        <v>1390448011.1168554</v>
      </c>
    </row>
    <row r="10" spans="1:11" x14ac:dyDescent="0.25">
      <c r="A10" t="s">
        <v>53</v>
      </c>
      <c r="B10" s="18">
        <f>B6*Assumptions!B9</f>
        <v>16689211.274242684</v>
      </c>
      <c r="C10" s="18">
        <f>C6*Assumptions!B9</f>
        <v>16465202.919901174</v>
      </c>
      <c r="D10" s="18">
        <f>D6*Assumptions!B9</f>
        <v>16323280.2467484</v>
      </c>
      <c r="E10" s="18">
        <f>E6*Assumptions!B9</f>
        <v>16260978.221954083</v>
      </c>
      <c r="F10" s="18">
        <f>F6*Assumptions!B9</f>
        <v>16277012.103722153</v>
      </c>
      <c r="G10" s="18">
        <f>G6*Assumptions!B9</f>
        <v>16371236.917620722</v>
      </c>
      <c r="H10" s="18">
        <f>H6*Assumptions!B9</f>
        <v>16544634.847169178</v>
      </c>
      <c r="I10" s="18">
        <f>I6*Assumptions!B9</f>
        <v>16799329.800645135</v>
      </c>
      <c r="J10" s="18">
        <f>J6*Assumptions!B9</f>
        <v>17138629.339632683</v>
      </c>
      <c r="K10" s="18">
        <f>K6*Assumptions!B9</f>
        <v>17567095.0731235</v>
      </c>
    </row>
    <row r="11" spans="1:11" x14ac:dyDescent="0.25">
      <c r="A11" t="s">
        <v>54</v>
      </c>
      <c r="B11" s="18">
        <f>-B6*B19</f>
        <v>-88565000</v>
      </c>
      <c r="C11" s="18">
        <f>-C6*C19</f>
        <v>-91828720.39856623</v>
      </c>
      <c r="D11" s="18">
        <f>-D6*D19</f>
        <v>-95451290.06412995</v>
      </c>
      <c r="E11" s="18">
        <f>-E6*E19</f>
        <v>-99484220.07852116</v>
      </c>
      <c r="F11" s="18">
        <f>-F6*F19</f>
        <v>-103983895.33566938</v>
      </c>
      <c r="G11" s="18">
        <f>-G6*G19</f>
        <v>-109012900.55598876</v>
      </c>
      <c r="H11" s="18">
        <f>-H6*H19</f>
        <v>-114641473.97516218</v>
      </c>
      <c r="I11" s="18">
        <f>-I6*I19</f>
        <v>-120949136.23314402</v>
      </c>
      <c r="J11" s="18">
        <f>-J6*J19</f>
        <v>-128026547.29161628</v>
      </c>
      <c r="K11" s="18">
        <f>-K6*K19</f>
        <v>-135977651.7174788</v>
      </c>
    </row>
    <row r="12" spans="1:11" x14ac:dyDescent="0.25">
      <c r="A12" t="s">
        <v>55</v>
      </c>
      <c r="B12" s="18">
        <f>-(B6-Assumptions!B29)*Assumptions!B11</f>
        <v>220787092.10315356</v>
      </c>
      <c r="C12" s="18">
        <f>-(C6-B6)*Assumptions!B11</f>
        <v>17670013.07693659</v>
      </c>
      <c r="D12" s="18">
        <f>-(D6-C6)*Assumptions!B11</f>
        <v>11195008.766057212</v>
      </c>
      <c r="E12" s="18">
        <f>-(E6-D6)*Assumptions!B11</f>
        <v>4914448.820765383</v>
      </c>
      <c r="F12" s="18">
        <f>-(F6-E6)*Assumptions!B11</f>
        <v>-1264769.3491107037</v>
      </c>
      <c r="G12" s="18">
        <f>-(G6-F6)*Assumptions!B11</f>
        <v>-7432551.784302355</v>
      </c>
      <c r="H12" s="18">
        <f>-(H6-G6)*Assumptions!B11</f>
        <v>-13677809.881875131</v>
      </c>
      <c r="I12" s="18">
        <f>-(I6-H6)*Assumptions!B11</f>
        <v>-20090604.083849303</v>
      </c>
      <c r="J12" s="18">
        <f>-(J6-I6)*Assumptions!B11</f>
        <v>-26764302.19994471</v>
      </c>
      <c r="K12" s="18">
        <f>-(K6-J6)*Assumptions!B11</f>
        <v>-33797824.80013935</v>
      </c>
    </row>
    <row r="13" spans="1:11" x14ac:dyDescent="0.25">
      <c r="A13" s="19" t="s">
        <v>56</v>
      </c>
      <c r="B13" s="20">
        <f>B9+B10+B11+B12</f>
        <v>1469874190.3422763</v>
      </c>
      <c r="C13" s="20">
        <f>C9+C10+C11+C12</f>
        <v>1245538962.7372665</v>
      </c>
      <c r="D13" s="20">
        <f>D9+D10+D11+D12</f>
        <v>1224066186.037882</v>
      </c>
      <c r="E13" s="20">
        <f>E9+E10+E11+E12</f>
        <v>1208759144.6861517</v>
      </c>
      <c r="F13" s="20">
        <f>F9+F10+F11+F12</f>
        <v>1199365378.233527</v>
      </c>
      <c r="G13" s="20">
        <f>G9+G10+G11+G12</f>
        <v>1195720776.1155152</v>
      </c>
      <c r="H13" s="20">
        <f>H9+H10+H11+H12</f>
        <v>1197744911.4037545</v>
      </c>
      <c r="I13" s="20">
        <f>I9+I10+I11+I12</f>
        <v>1205438435.7682753</v>
      </c>
      <c r="J13" s="20">
        <f>J9+J10+J11+J12</f>
        <v>1218882424.8401258</v>
      </c>
      <c r="K13" s="20">
        <f>K9+K10+K11+K12</f>
        <v>1238239629.6723607</v>
      </c>
    </row>
    <row r="14" spans="1:11" x14ac:dyDescent="0.25">
      <c r="A14" t="s">
        <v>57</v>
      </c>
      <c r="B14" s="21">
        <f>1/(1+Assumptions!$B$26)^(1-0.5*Assumptions!$B$32)</f>
        <v>0.9597760921802733</v>
      </c>
      <c r="C14" s="21">
        <f>1/(1+Assumptions!$B$26)^(2-0.5*Assumptions!$B$32)</f>
        <v>0.8841170840367639</v>
      </c>
      <c r="D14" s="21">
        <f>1/(1+Assumptions!$B$26)^(3-0.5*Assumptions!$B$32)</f>
        <v>0.8144222643741907</v>
      </c>
      <c r="E14" s="21">
        <f>1/(1+Assumptions!$B$26)^(4-0.5*Assumptions!$B$32)</f>
        <v>0.7502214770920581</v>
      </c>
      <c r="F14" s="21">
        <f>1/(1+Assumptions!$B$26)^(5-0.5*Assumptions!$B$32)</f>
        <v>0.6910816284261023</v>
      </c>
      <c r="G14" s="21">
        <f>1/(1+Assumptions!$B$26)^(6-0.5*Assumptions!$B$32)</f>
        <v>0.6366037653297799</v>
      </c>
      <c r="H14" s="21">
        <f>1/(1+Assumptions!$B$26)^(7-0.5*Assumptions!$B$32)</f>
        <v>0.5864203841665119</v>
      </c>
      <c r="I14" s="21">
        <f>1/(1+Assumptions!$B$26)^(8-0.5*Assumptions!$B$32)</f>
        <v>0.5401929515573232</v>
      </c>
      <c r="J14" s="21">
        <f>1/(1+Assumptions!$B$26)^(9-0.5*Assumptions!$B$32)</f>
        <v>0.49760962065969827</v>
      </c>
      <c r="K14" s="21">
        <f>1/(1+Assumptions!$B$26)^(10-0.5*Assumptions!$B$32)</f>
        <v>0.45838312747183796</v>
      </c>
    </row>
    <row r="15" spans="1:11" x14ac:dyDescent="0.25">
      <c r="A15" s="19" t="s">
        <v>58</v>
      </c>
      <c r="B15" s="20">
        <f>B13*B14</f>
        <v>1410750106.4033532</v>
      </c>
      <c r="C15" s="20">
        <f>C13*C14</f>
        <v>1101202275.7894475</v>
      </c>
      <c r="D15" s="20">
        <f>D13*D14</f>
        <v>996906754.9768513</v>
      </c>
      <c r="E15" s="20">
        <f>E13*E14</f>
        <v>906837070.9749775</v>
      </c>
      <c r="F15" s="20">
        <f>F13*F14</f>
        <v>828859378.667514</v>
      </c>
      <c r="G15" s="20">
        <f>G13*G14</f>
        <v>761200348.3581837</v>
      </c>
      <c r="H15" s="20">
        <f>H13*H14</f>
        <v>702382031.0788745</v>
      </c>
      <c r="I15" s="20">
        <f>I13*I14</f>
        <v>651169346.5383073</v>
      </c>
      <c r="J15" s="20">
        <f>J13*J14</f>
        <v>606527621.0534682</v>
      </c>
      <c r="K15" s="20">
        <f>K13*K14</f>
        <v>567588154.0087872</v>
      </c>
    </row>
    <row r="17" spans="1:2" x14ac:dyDescent="0.25">
      <c r="A17" s="22" t="s">
        <v>59</v>
      </c>
      <c r="B17" s="23">
        <f>SUM(B15:K15)</f>
        <v>8533423087.849764</v>
      </c>
    </row>
    <row r="19" spans="1:11" x14ac:dyDescent="0.25">
      <c r="A19" t="s">
        <v>7</v>
      </c>
      <c r="B19" s="9">
        <f>Assumptions!$B$10+($B$20-Assumptions!$B$10)*0/9</f>
        <v>0.01</v>
      </c>
      <c r="C19" s="9">
        <f>Assumptions!$B$10+($B$20-Assumptions!$B$10)*1/9</f>
        <v>0.010509574443692219</v>
      </c>
      <c r="D19" s="9">
        <f>Assumptions!$B$10+($B$20-Assumptions!$B$10)*2/9</f>
        <v>0.01101914888738444</v>
      </c>
      <c r="E19" s="9">
        <f>Assumptions!$B$10+($B$20-Assumptions!$B$10)*3/9</f>
        <v>0.011528723331076659</v>
      </c>
      <c r="F19" s="9">
        <f>Assumptions!$B$10+($B$20-Assumptions!$B$10)*4/9</f>
        <v>0.01203829777476888</v>
      </c>
      <c r="G19" s="9">
        <f>Assumptions!$B$10+($B$20-Assumptions!$B$10)*5/9</f>
        <v>0.012547872218461098</v>
      </c>
      <c r="H19" s="9">
        <f>Assumptions!$B$10+($B$20-Assumptions!$B$10)*6/9</f>
        <v>0.013057446662153319</v>
      </c>
      <c r="I19" s="9">
        <f>Assumptions!$B$10+($B$20-Assumptions!$B$10)*7/9</f>
        <v>0.013567021105845537</v>
      </c>
      <c r="J19" s="9">
        <f>Assumptions!$B$10+($B$20-Assumptions!$B$10)*8/9</f>
        <v>0.014076595549537756</v>
      </c>
      <c r="K19" s="9">
        <f>Assumptions!$B$10+($B$20-Assumptions!$B$10)*9/9</f>
        <v>0.014586169993229977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0.014586169993229977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1238239629.6723607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1390448011.1168554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0.08516000288945999</v>
      </c>
    </row>
    <row r="7" spans="1:2" x14ac:dyDescent="0.25">
      <c r="A7" t="s">
        <v>66</v>
      </c>
      <c r="B7" s="18">
        <f>-MAX(B5,0)*B6</f>
        <v>-118410556.6443553</v>
      </c>
    </row>
    <row r="8" spans="1:2" x14ac:dyDescent="0.25">
      <c r="A8" t="s">
        <v>67</v>
      </c>
      <c r="B8" s="18">
        <f>IF(OR(Assumptions!$B$33=0,Assumptions!B12&lt;=0),B5,MAX(B5+B7,0))</f>
        <v>1272037454.4725</v>
      </c>
    </row>
    <row r="9" spans="1:2" x14ac:dyDescent="0.25">
      <c r="A9" t="s">
        <v>68</v>
      </c>
      <c r="B9" s="18">
        <f>B8*(1+Assumptions!B12)/(Assumptions!B26-Assumptions!B12)</f>
        <v>21524087904.09626</v>
      </c>
    </row>
    <row r="10" spans="1:2" x14ac:dyDescent="0.25">
      <c r="A10" t="s">
        <v>69</v>
      </c>
      <c r="B10" s="18">
        <f>B9/(1+Assumptions!B26)^(10-0.5*Assumptions!B32)</f>
        <v>9866278729.4584</v>
      </c>
    </row>
    <row r="11" spans="1:2" x14ac:dyDescent="0.25">
      <c r="A11" t="s">
        <v>70</v>
      </c>
      <c r="B11" s="18">
        <f>Forecast!B17+B10</f>
        <v>18399701817.308167</v>
      </c>
    </row>
    <row r="12" spans="1:2" x14ac:dyDescent="0.25">
      <c r="A12" t="s">
        <v>71</v>
      </c>
      <c r="B12" s="18">
        <f>-Assumptions!B30</f>
        <v>863593000</v>
      </c>
    </row>
    <row r="13" spans="1:2" x14ac:dyDescent="0.25">
      <c r="A13" t="s">
        <v>72</v>
      </c>
      <c r="B13" s="18">
        <f>B11+B12</f>
        <v>19263294817.308167</v>
      </c>
    </row>
    <row r="14" spans="1:2" x14ac:dyDescent="0.25">
      <c r="A14" s="19" t="s">
        <v>73</v>
      </c>
      <c r="B14" s="24">
        <f>B13/Assumptions!B31</f>
        <v>6276.733404140817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1777627868.638763</v>
      </c>
    </row>
    <row r="18" spans="1:2" x14ac:dyDescent="0.25">
      <c r="A18" t="s">
        <v>68</v>
      </c>
      <c r="B18" s="18">
        <f>B17*Assumptions!B13</f>
        <v>15656252075.959702</v>
      </c>
    </row>
    <row r="19" spans="1:2" x14ac:dyDescent="0.25">
      <c r="A19" t="s">
        <v>69</v>
      </c>
      <c r="B19" s="18">
        <f>B18/(1+Assumptions!B26)^(10-0.5*Assumptions!B32)</f>
        <v>7176561791.065864</v>
      </c>
    </row>
    <row r="20" spans="1:2" x14ac:dyDescent="0.25">
      <c r="A20" t="s">
        <v>70</v>
      </c>
      <c r="B20" s="18">
        <f>Forecast!B17+B19</f>
        <v>15709984878.915627</v>
      </c>
    </row>
    <row r="21" spans="1:2" x14ac:dyDescent="0.25">
      <c r="A21" t="s">
        <v>71</v>
      </c>
      <c r="B21" s="18">
        <f>-Assumptions!B30</f>
        <v>863593000</v>
      </c>
    </row>
    <row r="22" spans="1:2" x14ac:dyDescent="0.25">
      <c r="A22" t="s">
        <v>72</v>
      </c>
      <c r="B22" s="18">
        <f>B20+B21</f>
        <v>16573577878.915627</v>
      </c>
    </row>
    <row r="23" spans="1:2" x14ac:dyDescent="0.25">
      <c r="A23" s="19" t="s">
        <v>73</v>
      </c>
      <c r="B23" s="25">
        <f>B22/Assumptions!B31</f>
        <v>5400.31863112272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5958.56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6276.733404140817</v>
      </c>
    </row>
    <row r="29" spans="1:2" x14ac:dyDescent="0.25">
      <c r="A29" s="19" t="s">
        <v>81</v>
      </c>
      <c r="B29" s="11">
        <f>B28/B26-1</f>
        <v>0.05339770081039985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0.065576</v>
      </c>
      <c r="B5" s="31">
        <v>8059.878888964432</v>
      </c>
      <c r="C5" s="31">
        <v>8484.831811712002</v>
      </c>
      <c r="D5" s="31">
        <v>9019.41234118051</v>
      </c>
      <c r="E5" s="31">
        <v>9709.843045978407</v>
      </c>
      <c r="F5" s="31">
        <v>10632.58103723667</v>
      </c>
    </row>
    <row r="6" spans="1:6" x14ac:dyDescent="0.25">
      <c r="A6" s="30">
        <v>0.075576</v>
      </c>
      <c r="B6" s="31">
        <v>6824.177232960085</v>
      </c>
      <c r="C6" s="31">
        <v>7074.355714395707</v>
      </c>
      <c r="D6" s="31">
        <v>7377.717640736674</v>
      </c>
      <c r="E6" s="31">
        <v>7751.7667787369855</v>
      </c>
      <c r="F6" s="31">
        <v>8222.634540435534</v>
      </c>
    </row>
    <row r="7" spans="1:6" x14ac:dyDescent="0.25">
      <c r="A7" s="30">
        <v>0.085576</v>
      </c>
      <c r="B7" s="31">
        <v>5938.708623385839</v>
      </c>
      <c r="C7" s="31">
        <v>6093.46725650892</v>
      </c>
      <c r="D7" s="32">
        <v>6276.713069033653</v>
      </c>
      <c r="E7" s="31">
        <v>6496.134769953572</v>
      </c>
      <c r="F7" s="31">
        <v>6762.461525788916</v>
      </c>
    </row>
    <row r="8" spans="1:6" x14ac:dyDescent="0.25">
      <c r="A8" s="30">
        <v>0.095576</v>
      </c>
      <c r="B8" s="31">
        <v>5273.032763035493</v>
      </c>
      <c r="C8" s="31">
        <v>5371.638826997945</v>
      </c>
      <c r="D8" s="31">
        <v>5486.607656505876</v>
      </c>
      <c r="E8" s="31">
        <v>5621.682106920733</v>
      </c>
      <c r="F8" s="31">
        <v>5781.840788807817</v>
      </c>
    </row>
    <row r="9" spans="1:6" x14ac:dyDescent="0.25">
      <c r="A9" s="30">
        <v>0.105576</v>
      </c>
      <c r="B9" s="31">
        <v>4754.319314367377</v>
      </c>
      <c r="C9" s="31">
        <v>4818.053200540894</v>
      </c>
      <c r="D9" s="31">
        <v>4891.683598006241</v>
      </c>
      <c r="E9" s="31">
        <v>4977.174723834678</v>
      </c>
      <c r="F9" s="31">
        <v>5077.047419749258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10341845000</v>
      </c>
      <c r="C5" s="18">
        <v>10543571000</v>
      </c>
      <c r="D5" s="18">
        <v>9534889000</v>
      </c>
      <c r="E5" s="18">
        <v>10538287000</v>
      </c>
      <c r="F5" s="6" t="s">
        <v>91</v>
      </c>
    </row>
    <row r="6" spans="1:6" x14ac:dyDescent="0.25">
      <c r="A6" t="s">
        <v>51</v>
      </c>
      <c r="B6" s="18">
        <v>1689318000</v>
      </c>
      <c r="C6" s="18">
        <v>1993919000</v>
      </c>
      <c r="D6" s="18">
        <v>1803654000</v>
      </c>
      <c r="E6" s="18">
        <v>2250717000</v>
      </c>
      <c r="F6" s="6" t="s">
        <v>92</v>
      </c>
    </row>
    <row r="7" spans="1:6" x14ac:dyDescent="0.25">
      <c r="A7" t="s">
        <v>93</v>
      </c>
      <c r="B7" s="18">
        <v>24510000</v>
      </c>
      <c r="C7" s="18">
        <v>18375000</v>
      </c>
      <c r="D7" s="18">
        <v>16916000</v>
      </c>
      <c r="E7" s="18">
        <v>17396000</v>
      </c>
      <c r="F7" s="6" t="s">
        <v>94</v>
      </c>
    </row>
    <row r="8" spans="1:6" x14ac:dyDescent="0.25">
      <c r="A8" t="s">
        <v>95</v>
      </c>
      <c r="B8" s="18">
        <v>24508000</v>
      </c>
      <c r="C8" s="18">
        <v>29212000</v>
      </c>
      <c r="D8" s="18">
        <v>24877000</v>
      </c>
      <c r="E8" s="18">
        <v>18428000</v>
      </c>
      <c r="F8" s="6" t="s">
        <v>96</v>
      </c>
    </row>
    <row r="9" spans="1:6" x14ac:dyDescent="0.25">
      <c r="A9" t="s">
        <v>97</v>
      </c>
      <c r="B9" s="18">
        <v>138862000</v>
      </c>
      <c r="C9" s="18">
        <v>297914000</v>
      </c>
      <c r="D9" s="18">
        <v>229349000</v>
      </c>
      <c r="E9" s="18">
        <v>12136000</v>
      </c>
      <c r="F9" s="6" t="s">
        <v>98</v>
      </c>
    </row>
    <row r="10" spans="1:6" x14ac:dyDescent="0.25">
      <c r="A10" t="s">
        <v>99</v>
      </c>
      <c r="B10" s="18">
        <v>1052893000</v>
      </c>
      <c r="C10" s="18">
        <v>1020485000</v>
      </c>
      <c r="D10" s="18">
        <v>1014299000</v>
      </c>
      <c r="E10" s="18">
        <v>1007674000</v>
      </c>
      <c r="F10" s="6" t="s">
        <v>100</v>
      </c>
    </row>
    <row r="11" spans="1:6" x14ac:dyDescent="0.25">
      <c r="A11" t="s">
        <v>101</v>
      </c>
      <c r="B11" s="18">
        <v>1916486000</v>
      </c>
      <c r="C11" s="18">
        <v>2610975000</v>
      </c>
      <c r="D11" s="18">
        <v>3162894000</v>
      </c>
      <c r="E11" s="18">
        <v>2522839000</v>
      </c>
      <c r="F11" s="6" t="s">
        <v>102</v>
      </c>
    </row>
    <row r="12" spans="1:6" x14ac:dyDescent="0.25">
      <c r="A12" t="s">
        <v>34</v>
      </c>
      <c r="B12" s="34">
        <v>3069000</v>
      </c>
      <c r="C12" s="34">
        <v>3319000</v>
      </c>
      <c r="D12" s="34">
        <v>3435000</v>
      </c>
      <c r="E12" s="34">
        <v>3509000</v>
      </c>
      <c r="F12" s="6" t="s">
        <v>103</v>
      </c>
    </row>
    <row r="15" spans="1:1" x14ac:dyDescent="0.25">
      <c r="A15" s="19" t="s">
        <v>104</v>
      </c>
    </row>
    <row r="16" ht="86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