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<sst xmlns="http://schemas.openxmlformats.org/spreadsheetml/2006/main" count="113" uniqueCount="101">
  <si>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NVR, Inc. (NVR)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</si>
  <si>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</si>
  <si>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</si>
  <si>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</si>
  <si>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</si>
  <si>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</si>
  <si>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</si>
  <si>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</si>
  <si>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</si>
  <si>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</si>
  <si>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</si>
  <si>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</si>
  <si>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</si>
  <si>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</si>
  <si>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</si>
  <si>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</si>
  <si>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</si>
  <si>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</si>
  <si>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</si>
  <si>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</si>
  <si>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</si>
  <si>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</si>
  <si>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</si>
  <si>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</si>
  <si>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</si>
  <si>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</si>
  <si>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</si>
  <si>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</si>
  <si>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</si>
  <si>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</si>
  <si>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</si>
  <si>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</si>
  <si>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</si>
  <si>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</si>
  <si>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</si>
  <si>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</si>
  <si>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</si>
  <si>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</si>
  <si>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</si>
  <si>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</si>
  <si>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</si>
  <si>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</si>
  <si>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</si>
  <si>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</si>
  <si>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</si>
  <si>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</si>
  <si>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</si>
  <si>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</si>
  <si>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</si>
  <si>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</si>
  <si>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</si>
  <si>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</si>
  <si>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</si>
  <si>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</si>
  <si>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</si>
  <si>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</si>
  <si>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</si>
  <si>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</si>
  <si>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</si>
  <si>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</si>
  <si>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</si>
  <si>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</si>
  <si>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</si>
  <si>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</si>
  <si>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</si>
  <si>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</si>
  <si>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</si>
  <si>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</si>
  <si>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</si>
  <si>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</si>
  <si>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</si>
  <si>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</si>
  <si>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</si>
  <si>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</si>
  <si>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</si>
  <si>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</si>
  <si>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</si>
  <si>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</si>
  <si>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</si>
  <si>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</si>
  <si>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</si>
  <si>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</si>
  <si>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</si>
  <si>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</si>
  <si>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</si>
  <si>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</si>
  <si>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</si>
  <si>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</si>
  <si>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</si>
  <si>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</si>
  <si>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</si>
  <si>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</si>
  <si>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</si>
  <si>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</si>
  <si>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</si>
  <si>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</si>
  <si>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</si>
  <si>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</si>
  <si>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0.24%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</si>
  <si>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0.2%.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</si>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</sst>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-0.006252610482764043</v>
      </c>
    </row>
    <row r="7" spans="1:2" x14ac:dyDescent="0.25">
      <c r="A7" t="s">
        <v>5</v>
      </c>
      <c r="B7" s="6">
        <v>0.18879974258552576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0.0018844025601809614</v>
      </c>
    </row>
    <row r="10" spans="1:2" x14ac:dyDescent="0.25">
      <c r="A10" t="s">
        <v>8</v>
      </c>
      <c r="B10" s="6">
        <v>0.01</v>
      </c>
    </row>
    <row r="11" spans="1:2" x14ac:dyDescent="0.25">
      <c r="A11" t="s">
        <v>9</v>
      </c>
      <c r="B11" s="6">
        <v>-0.22857231128624933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9.107277486422207</v>
      </c>
    </row>
    <row r="14" spans="1:3" x14ac:dyDescent="0.25">
      <c r="A14" t="s">
        <v>12</v>
      </c>
      <c r="B14" s="6">
        <v>0.29356504405537287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0.94171</v>
      </c>
      <c r="C19" s="8" t="s">
        <v>19</v>
      </c>
    </row>
    <row r="20" spans="1:2" x14ac:dyDescent="0.25">
      <c r="A20" t="s">
        <v>20</v>
      </c>
      <c r="B20" s="10">
        <f>B17+B19*B18</f>
        <v>0.10177405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16471900160</v>
      </c>
    </row>
    <row r="23" spans="1:2" x14ac:dyDescent="0.25">
      <c r="A23" t="s">
        <v>24</v>
      </c>
      <c r="B23" s="11">
        <v>1052893000</v>
      </c>
    </row>
    <row r="24" spans="1:2" x14ac:dyDescent="0.25">
      <c r="A24" t="s">
        <v>25</v>
      </c>
      <c r="B24" s="10">
        <f>B22/(B22+B23)</f>
        <v>0.9399198044514895</v>
      </c>
    </row>
    <row r="25" spans="1:2" x14ac:dyDescent="0.25">
      <c r="A25" t="s">
        <v>26</v>
      </c>
      <c r="B25" s="10">
        <f>1-B24</f>
        <v>0.06008019554851052</v>
      </c>
    </row>
    <row r="26" spans="1:2" x14ac:dyDescent="0.25">
      <c r="A26" t="s">
        <v>27</v>
      </c>
      <c r="B26" s="12">
        <f>B24*B20+B25*B21*(1-B8)</f>
        <v>0.09803166363131262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10341845000</v>
      </c>
      <c r="C29" s="8" t="s">
        <v>30</v>
      </c>
    </row>
    <row r="30" spans="1:2" x14ac:dyDescent="0.25">
      <c r="A30" t="s">
        <v>31</v>
      </c>
      <c r="B30" s="11">
        <v>-863593000</v>
      </c>
    </row>
    <row r="31" spans="1:2" x14ac:dyDescent="0.25">
      <c r="A31" t="s">
        <v>32</v>
      </c>
      <c r="B31" s="13">
        <v>3069000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-0.006252610482764043</v>
      </c>
      <c r="C5" s="10">
        <f>Assumptions!B6</f>
        <v>-0.006252610482764043</v>
      </c>
      <c r="D5" s="10">
        <f>Assumptions!B6</f>
        <v>-0.006252610482764043</v>
      </c>
      <c r="E5" s="10">
        <f>Assumptions!B6</f>
        <v>-0.006252610482764043</v>
      </c>
      <c r="F5" s="10">
        <f>Assumptions!B6</f>
        <v>-0.006252610482764043</v>
      </c>
    </row>
    <row r="6" spans="1:6" x14ac:dyDescent="0.25">
      <c r="A6" t="s">
        <v>43</v>
      </c>
      <c r="B6" s="18">
        <f>Assumptions!B29*(1+B5)</f>
        <v>10277181471.54188</v>
      </c>
      <c r="C6" s="18">
        <f>B6*(1+C5)</f>
        <v>10212922258.939648</v>
      </c>
      <c r="D6" s="18">
        <f>C6*(1+D5)</f>
        <v>10149064834.163748</v>
      </c>
      <c r="E6" s="18">
        <f>D6*(1+E5)</f>
        <v>10085606684.991404</v>
      </c>
      <c r="F6" s="18">
        <f>E6*(1+F5)</f>
        <v>10022545314.907791</v>
      </c>
    </row>
    <row r="7" spans="1:6" x14ac:dyDescent="0.25">
      <c r="A7" t="s">
        <v>5</v>
      </c>
      <c r="B7" s="10">
        <f>Assumptions!B7</f>
        <v>0.18879974258552576</v>
      </c>
      <c r="C7" s="10">
        <f>Assumptions!B7</f>
        <v>0.18879974258552576</v>
      </c>
      <c r="D7" s="10">
        <f>Assumptions!B7</f>
        <v>0.18879974258552576</v>
      </c>
      <c r="E7" s="10">
        <f>Assumptions!B7</f>
        <v>0.18879974258552576</v>
      </c>
      <c r="F7" s="10">
        <f>Assumptions!B7</f>
        <v>0.18879974258552576</v>
      </c>
    </row>
    <row r="8" spans="1:6" x14ac:dyDescent="0.25">
      <c r="A8" t="s">
        <v>44</v>
      </c>
      <c r="B8" s="18">
        <f>B6*B7</f>
        <v>1940329216.3318417</v>
      </c>
      <c r="C8" s="18">
        <f>C6*C7</f>
        <v>1928197093.5337918</v>
      </c>
      <c r="D8" s="18">
        <f>D6*D7</f>
        <v>1916140828.1739273</v>
      </c>
      <c r="E8" s="18">
        <f>E6*E7</f>
        <v>1904159945.9452348</v>
      </c>
      <c r="F8" s="18">
        <f>F6*F7</f>
        <v>1892253975.5063581</v>
      </c>
    </row>
    <row r="9" spans="1:6" x14ac:dyDescent="0.25">
      <c r="A9" t="s">
        <v>45</v>
      </c>
      <c r="B9" s="18">
        <f>B8*(1-Assumptions!B8)</f>
        <v>1532860080.902155</v>
      </c>
      <c r="C9" s="18">
        <f>C8*(1-Assumptions!B8)</f>
        <v>1523275703.8916955</v>
      </c>
      <c r="D9" s="18">
        <f>D8*(1-Assumptions!B8)</f>
        <v>1513751254.2574027</v>
      </c>
      <c r="E9" s="18">
        <f>E8*(1-Assumptions!B8)</f>
        <v>1504286357.2967355</v>
      </c>
      <c r="F9" s="18">
        <f>F8*(1-Assumptions!B8)</f>
        <v>1494880640.650023</v>
      </c>
    </row>
    <row r="10" spans="1:6" x14ac:dyDescent="0.25">
      <c r="A10" t="s">
        <v>46</v>
      </c>
      <c r="B10" s="18">
        <f>B6*Assumptions!B9</f>
        <v>19366347.07641786</v>
      </c>
      <c r="C10" s="18">
        <f>C6*Assumptions!B9</f>
        <v>19245256.851675</v>
      </c>
      <c r="D10" s="18">
        <f>D6*Assumptions!B9</f>
        <v>19124923.75694073</v>
      </c>
      <c r="E10" s="18">
        <f>E6*Assumptions!B9</f>
        <v>19005343.05817602</v>
      </c>
      <c r="F10" s="18">
        <f>F6*Assumptions!B9</f>
        <v>18886510.05094194</v>
      </c>
    </row>
    <row r="11" spans="1:6" x14ac:dyDescent="0.25">
      <c r="A11" t="s">
        <v>47</v>
      </c>
      <c r="B11" s="18">
        <f>-B6*Assumptions!B10</f>
        <v>-102771814.7154188</v>
      </c>
      <c r="C11" s="18">
        <f>-C6*Assumptions!B10</f>
        <v>-102129222.58939648</v>
      </c>
      <c r="D11" s="18">
        <f>-D6*Assumptions!B10</f>
        <v>-101490648.34163748</v>
      </c>
      <c r="E11" s="18">
        <f>-E6*Assumptions!B10</f>
        <v>-100856066.84991404</v>
      </c>
      <c r="F11" s="18">
        <f>-F6*Assumptions!B10</f>
        <v>-100225453.1490779</v>
      </c>
    </row>
    <row r="12" spans="1:6" x14ac:dyDescent="0.25">
      <c r="A12" t="s">
        <v>48</v>
      </c>
      <c r="B12" s="18">
        <f>-(B6-Assumptions!B29)*Assumptions!B11</f>
        <v>-14780292.155596726</v>
      </c>
      <c r="C12" s="18">
        <f>-(C6-B6)*Assumptions!B11</f>
        <v>-14687876.745926645</v>
      </c>
      <c r="D12" s="18">
        <f>-(D6-C6)*Assumptions!B11</f>
        <v>-14596039.17381524</v>
      </c>
      <c r="E12" s="18">
        <f>-(E6-D6)*Assumptions!B11</f>
        <v>-14504775.826270305</v>
      </c>
      <c r="F12" s="18">
        <f>-(F6-E6)*Assumptions!B11</f>
        <v>-14414083.112888834</v>
      </c>
    </row>
    <row r="13" spans="1:6" x14ac:dyDescent="0.25">
      <c r="A13" s="19" t="s">
        <v>49</v>
      </c>
      <c r="B13" s="20">
        <f>B9+B10+B11+B12</f>
        <v>1434674321.1075573</v>
      </c>
      <c r="C13" s="20">
        <f>C9+C10+C11+C12</f>
        <v>1425703861.4080474</v>
      </c>
      <c r="D13" s="20">
        <f>D9+D10+D11+D12</f>
        <v>1416789490.4988909</v>
      </c>
      <c r="E13" s="20">
        <f>E9+E10+E11+E12</f>
        <v>1407930857.6787271</v>
      </c>
      <c r="F13" s="20">
        <f>F9+F10+F11+F12</f>
        <v>1399127614.4389982</v>
      </c>
    </row>
    <row r="14" spans="1:6" x14ac:dyDescent="0.25">
      <c r="A14" t="s">
        <v>50</v>
      </c>
      <c r="B14" s="21">
        <f>1/(1+Assumptions!$B$26)^(1-0.5*Assumptions!$B$32)</f>
        <v>0.9543167972091892</v>
      </c>
      <c r="C14" s="21">
        <f>1/(1+Assumptions!$B$26)^(2-0.5*Assumptions!$B$32)</f>
        <v>0.8691159178899792</v>
      </c>
      <c r="D14" s="21">
        <f>1/(1+Assumptions!$B$26)^(3-0.5*Assumptions!$B$32)</f>
        <v>0.7915217262639918</v>
      </c>
      <c r="E14" s="21">
        <f>1/(1+Assumptions!$B$26)^(4-0.5*Assumptions!$B$32)</f>
        <v>0.7208551014333608</v>
      </c>
      <c r="F14" s="21">
        <f>1/(1+Assumptions!$B$26)^(5-0.5*Assumptions!$B$32)</f>
        <v>0.6564975540408489</v>
      </c>
    </row>
    <row r="15" spans="1:6" x14ac:dyDescent="0.25">
      <c r="A15" s="19" t="s">
        <v>51</v>
      </c>
      <c r="B15" s="20">
        <f>B13*B14</f>
        <v>1369133803.1576319</v>
      </c>
      <c r="C15" s="20">
        <f>C13*C14</f>
        <v>1239101920.1469429</v>
      </c>
      <c r="D15" s="20">
        <f>D13*D14</f>
        <v>1121419663.2723634</v>
      </c>
      <c r="E15" s="20">
        <f>E13*E14</f>
        <v>1014914141.2231576</v>
      </c>
      <c r="F15" s="20">
        <f>F13*F14</f>
        <v>918523856.6702102</v>
      </c>
    </row>
    <row r="17" spans="1:2" x14ac:dyDescent="0.25">
      <c r="A17" s="22" t="s">
        <v>52</v>
      </c>
      <c r="B17" s="23">
        <f>SUM(B15:F15)</f>
        <v>5663093384.470306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1399127614.4389982</v>
      </c>
    </row>
    <row r="5" spans="1:2" x14ac:dyDescent="0.25">
      <c r="A5" t="s">
        <v>56</v>
      </c>
      <c r="B5" s="18">
        <f>IF(Assumptions!$B$33=0,B4,B4-Forecast!F11-Forecast!F10-Forecast!F12)</f>
        <v>1494880640.650023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0.08516000288945999</v>
      </c>
    </row>
    <row r="7" spans="1:2" x14ac:dyDescent="0.25">
      <c r="A7" t="s">
        <v>58</v>
      </c>
      <c r="B7" s="18">
        <f>-MAX(Forecast!F9,0)*B6</f>
        <v>-127304039.67715377</v>
      </c>
    </row>
    <row r="8" spans="1:2" x14ac:dyDescent="0.25">
      <c r="A8" t="s">
        <v>59</v>
      </c>
      <c r="B8" s="18">
        <f>IF(OR(Assumptions!$B$33=0,Assumptions!B12&lt;=0),B5,MAX(B5+B7,0))</f>
        <v>1367576600.9728692</v>
      </c>
    </row>
    <row r="9" spans="1:2" x14ac:dyDescent="0.25">
      <c r="A9" t="s">
        <v>60</v>
      </c>
      <c r="B9" s="18">
        <f>B8*(1+Assumptions!B12)/(Assumptions!B26-Assumptions!B12)</f>
        <v>19193948847.636246</v>
      </c>
    </row>
    <row r="10" spans="1:2" x14ac:dyDescent="0.25">
      <c r="A10" t="s">
        <v>61</v>
      </c>
      <c r="B10" s="18">
        <f>B9/(1+Assumptions!B26)^(5-0.5*Assumptions!B32)</f>
        <v>12600780470.858364</v>
      </c>
    </row>
    <row r="11" spans="1:2" x14ac:dyDescent="0.25">
      <c r="A11" t="s">
        <v>62</v>
      </c>
      <c r="B11" s="18">
        <f>Forecast!B17+B10</f>
        <v>18263873855.32867</v>
      </c>
    </row>
    <row r="12" spans="1:2" x14ac:dyDescent="0.25">
      <c r="A12" t="s">
        <v>63</v>
      </c>
      <c r="B12" s="18">
        <f>-Assumptions!B30</f>
        <v>863593000</v>
      </c>
    </row>
    <row r="13" spans="1:2" x14ac:dyDescent="0.25">
      <c r="A13" t="s">
        <v>64</v>
      </c>
      <c r="B13" s="18">
        <f>B11+B12</f>
        <v>19127466855.32867</v>
      </c>
    </row>
    <row r="14" spans="1:2" x14ac:dyDescent="0.25">
      <c r="A14" s="19" t="s">
        <v>65</v>
      </c>
      <c r="B14" s="24">
        <f>B13/Assumptions!B31</f>
        <v>6232.475352013252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1911140485.5573</v>
      </c>
    </row>
    <row r="18" spans="1:2" x14ac:dyDescent="0.25">
      <c r="A18" t="s">
        <v>60</v>
      </c>
      <c r="B18" s="18">
        <f>B17*Assumptions!B13</f>
        <v>17405286717.506004</v>
      </c>
    </row>
    <row r="19" spans="1:2" x14ac:dyDescent="0.25">
      <c r="A19" t="s">
        <v>61</v>
      </c>
      <c r="B19" s="18">
        <f>B18/(1+Assumptions!B26)^(5-0.5*Assumptions!B32)</f>
        <v>11426528157.422367</v>
      </c>
    </row>
    <row r="20" spans="1:2" x14ac:dyDescent="0.25">
      <c r="A20" t="s">
        <v>62</v>
      </c>
      <c r="B20" s="18">
        <f>Forecast!B17+B19</f>
        <v>17089621541.892673</v>
      </c>
    </row>
    <row r="21" spans="1:2" x14ac:dyDescent="0.25">
      <c r="A21" t="s">
        <v>63</v>
      </c>
      <c r="B21" s="18">
        <f>-Assumptions!B30</f>
        <v>863593000</v>
      </c>
    </row>
    <row r="22" spans="1:2" x14ac:dyDescent="0.25">
      <c r="A22" t="s">
        <v>64</v>
      </c>
      <c r="B22" s="18">
        <f>B20+B21</f>
        <v>17953214541.892673</v>
      </c>
    </row>
    <row r="23" spans="1:2" x14ac:dyDescent="0.25">
      <c r="A23" s="19" t="s">
        <v>65</v>
      </c>
      <c r="B23" s="25">
        <f>B22/Assumptions!B31</f>
        <v>5849.8581107503005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6150.47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6232.475352013252</v>
      </c>
    </row>
    <row r="29" spans="1:2" x14ac:dyDescent="0.25">
      <c r="A29" s="19" t="s">
        <v>73</v>
      </c>
      <c r="B29" s="12">
        <f>B28/B26-1</f>
        <v>0.013333184620565763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0.078032</v>
      </c>
      <c r="B5" s="31">
        <v>7514.579128356001</v>
      </c>
      <c r="C5" s="31">
        <v>7896.289108940556</v>
      </c>
      <c r="D5" s="31">
        <v>8348.860817667924</v>
      </c>
      <c r="E5" s="31">
        <v>8894.423791558062</v>
      </c>
      <c r="F5" s="31">
        <v>9565.392721479193</v>
      </c>
    </row>
    <row r="6" spans="1:6" x14ac:dyDescent="0.25">
      <c r="A6" s="30">
        <v>0.088032</v>
      </c>
      <c r="B6" s="31">
        <v>6560.442258726481</v>
      </c>
      <c r="C6" s="31">
        <v>6821.555056465743</v>
      </c>
      <c r="D6" s="31">
        <v>7123.192906769577</v>
      </c>
      <c r="E6" s="31">
        <v>7475.830647459683</v>
      </c>
      <c r="F6" s="31">
        <v>7893.893500209654</v>
      </c>
    </row>
    <row r="7" spans="1:6" x14ac:dyDescent="0.25">
      <c r="A7" s="30">
        <v>0.098032</v>
      </c>
      <c r="B7" s="31">
        <v>5835.888136757384</v>
      </c>
      <c r="C7" s="31">
        <v>6021.812705247732</v>
      </c>
      <c r="D7" s="32">
        <v>6232.449480737939</v>
      </c>
      <c r="E7" s="31">
        <v>6473.247121285946</v>
      </c>
      <c r="F7" s="31">
        <v>6751.383139518153</v>
      </c>
    </row>
    <row r="8" spans="1:6" x14ac:dyDescent="0.25">
      <c r="A8" s="30">
        <v>0.108032</v>
      </c>
      <c r="B8" s="31">
        <v>5266.8878272871325</v>
      </c>
      <c r="C8" s="31">
        <v>5403.363841366504</v>
      </c>
      <c r="D8" s="31">
        <v>5555.646696155361</v>
      </c>
      <c r="E8" s="31">
        <v>5726.774922136612</v>
      </c>
      <c r="F8" s="31">
        <v>5920.61915913781</v>
      </c>
    </row>
    <row r="9" spans="1:6" x14ac:dyDescent="0.25">
      <c r="A9" s="30">
        <v>0.118032</v>
      </c>
      <c r="B9" s="31">
        <v>4808.152460897766</v>
      </c>
      <c r="C9" s="31">
        <v>4910.7412526056</v>
      </c>
      <c r="D9" s="31">
        <v>5023.817545115756</v>
      </c>
      <c r="E9" s="31">
        <v>5149.168330795047</v>
      </c>
      <c r="F9" s="31">
        <v>5289.011036629898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10341845000</v>
      </c>
      <c r="C5" s="18">
        <v>10543571000</v>
      </c>
      <c r="D5" s="18">
        <v>9534889000</v>
      </c>
      <c r="E5" s="18">
        <v>10538287000</v>
      </c>
      <c r="F5" s="8" t="s">
        <v>84</v>
      </c>
    </row>
    <row r="6" spans="1:6" x14ac:dyDescent="0.25">
      <c r="A6" t="s">
        <v>44</v>
      </c>
      <c r="B6" s="18">
        <v>1689318000</v>
      </c>
      <c r="C6" s="18">
        <v>1993919000</v>
      </c>
      <c r="D6" s="18">
        <v>1803654000</v>
      </c>
      <c r="E6" s="18">
        <v>2250717000</v>
      </c>
      <c r="F6" s="8" t="s">
        <v>85</v>
      </c>
    </row>
    <row r="7" spans="1:6" x14ac:dyDescent="0.25">
      <c r="A7" t="s">
        <v>86</v>
      </c>
      <c r="B7" s="18">
        <v>24510000</v>
      </c>
      <c r="C7" s="18">
        <v>18375000</v>
      </c>
      <c r="D7" s="18">
        <v>16916000</v>
      </c>
      <c r="E7" s="18">
        <v>17396000</v>
      </c>
      <c r="F7" s="8" t="s">
        <v>87</v>
      </c>
    </row>
    <row r="8" spans="1:6" x14ac:dyDescent="0.25">
      <c r="A8" t="s">
        <v>88</v>
      </c>
      <c r="B8" s="18">
        <v>24508000</v>
      </c>
      <c r="C8" s="18">
        <v>29212000</v>
      </c>
      <c r="D8" s="18">
        <v>24877000</v>
      </c>
      <c r="E8" s="18">
        <v>18428000</v>
      </c>
      <c r="F8" s="8" t="s">
        <v>89</v>
      </c>
    </row>
    <row r="9" spans="1:6" x14ac:dyDescent="0.25">
      <c r="A9" t="s">
        <v>90</v>
      </c>
      <c r="B9" s="18">
        <v>138862000</v>
      </c>
      <c r="C9" s="18">
        <v>297914000</v>
      </c>
      <c r="D9" s="18">
        <v>229349000</v>
      </c>
      <c r="E9" s="18">
        <v>12136000</v>
      </c>
      <c r="F9" s="8" t="s">
        <v>91</v>
      </c>
    </row>
    <row r="10" spans="1:6" x14ac:dyDescent="0.25">
      <c r="A10" t="s">
        <v>92</v>
      </c>
      <c r="B10" s="18">
        <v>1052893000</v>
      </c>
      <c r="C10" s="18">
        <v>1020485000</v>
      </c>
      <c r="D10" s="18">
        <v>1014299000</v>
      </c>
      <c r="E10" s="18">
        <v>1007674000</v>
      </c>
      <c r="F10" s="8" t="s">
        <v>93</v>
      </c>
    </row>
    <row r="11" spans="1:6" x14ac:dyDescent="0.25">
      <c r="A11" t="s">
        <v>94</v>
      </c>
      <c r="B11" s="18">
        <v>1916486000</v>
      </c>
      <c r="C11" s="18">
        <v>2610975000</v>
      </c>
      <c r="D11" s="18">
        <v>3162894000</v>
      </c>
      <c r="E11" s="18">
        <v>2522839000</v>
      </c>
      <c r="F11" s="8" t="s">
        <v>95</v>
      </c>
    </row>
    <row r="12" spans="1:6" x14ac:dyDescent="0.25">
      <c r="A12" t="s">
        <v>32</v>
      </c>
      <c r="B12" s="34">
        <v>3069000</v>
      </c>
      <c r="C12" s="34">
        <v>3319000</v>
      </c>
      <c r="D12" s="34">
        <v>3435000</v>
      </c>
      <c r="E12" s="34">
        <v>3509000</v>
      </c>
      <c r="F12" s="8" t="s">
        <v>96</v>
      </c>
    </row>
    <row r="15" spans="1:1" x14ac:dyDescent="0.25">
      <c r="A15" s="19" t="s">
        <v>97</v>
      </c>
    </row>
    <row r="16" ht="86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2026-09-19T01:04:22Z</dcterms:modified>
</cp:coreProperties>
</file>