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<sst xmlns="http://schemas.openxmlformats.org/spreadsheetml/2006/main" count="114" uniqueCount="102">
  <si>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NatWest Group plc (NWG.L)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</si>
  <si>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</si>
  <si>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</si>
  <si>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</si>
  <si>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</si>
  <si>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</si>
  <si>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</si>
  <si>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</si>
  <si>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</si>
  <si>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</si>
  <si>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</si>
  <si>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</si>
  <si>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</si>
  <si>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</si>
  <si>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</si>
  <si>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</si>
  <si>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</si>
  <si>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</si>
  <si>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</si>
  <si>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</si>
  <si>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</si>
  <si>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</si>
  <si>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18.7% is not a credible funding cost, so risk-free + 2bp is assumed instead. Interest expense and reported debt are measuring different things - common for banks, whose interest expense includes deposits that total debt excludes.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</si>
  <si>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</si>
  <si>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</si>
  <si>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</si>
  <si>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</si>
  <si>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</si>
  <si>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</si>
  <si>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</si>
  <si>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</si>
  <si>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</si>
  <si>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</si>
  <si>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</si>
  <si>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</si>
  <si>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</si>
  <si>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</si>
  <si>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</si>
  <si>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</si>
  <si>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</si>
  <si>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</si>
  <si>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</si>
  <si>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</si>
  <si>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</si>
  <si>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</si>
  <si>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</si>
  <si>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</si>
  <si>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</si>
  <si>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</si>
  <si>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</si>
  <si>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</si>
  <si>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</si>
  <si>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</si>
  <si>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</si>
  <si>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</si>
  <si>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</si>
  <si>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</si>
  <si>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</si>
  <si>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</si>
  <si>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</si>
  <si>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</si>
  <si>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</si>
  <si>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</si>
  <si>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</si>
  <si>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</si>
  <si>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</si>
  <si>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</si>
  <si>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</si>
  <si>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</si>
  <si>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</si>
  <si>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</si>
  <si>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</si>
  <si>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</si>
  <si>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</si>
  <si>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</si>
  <si>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</si>
  <si>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</si>
  <si>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</si>
  <si>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</si>
  <si>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</si>
  <si>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</si>
  <si>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</si>
  <si>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</si>
  <si>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</si>
  <si>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</si>
  <si>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</si>
  <si>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</si>
  <si>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</si>
  <si>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</si>
  <si>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</si>
  <si>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</si>
  <si>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</si>
  <si>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</si>
  <si>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</si>
  <si>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</si>
  <si>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</si>
  <si>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</si>
  <si>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</si>
  <si>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</si>
  <si>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9.0% of revenue against depreciation of 6.7%.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</si>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</sst>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0.07547186585455679</v>
      </c>
    </row>
    <row r="7" spans="1:2" x14ac:dyDescent="0.25">
      <c r="A7" t="s">
        <v>5</v>
      </c>
      <c r="B7" s="6">
        <v>0.4222992405742029</v>
      </c>
    </row>
    <row r="8" spans="1:2" x14ac:dyDescent="0.25">
      <c r="A8" t="s">
        <v>6</v>
      </c>
      <c r="B8" s="6">
        <v>0.23980253003807664</v>
      </c>
    </row>
    <row r="9" spans="1:2" x14ac:dyDescent="0.25">
      <c r="A9" t="s">
        <v>7</v>
      </c>
      <c r="B9" s="6">
        <v>0.0668152332981135</v>
      </c>
    </row>
    <row r="10" spans="1:2" x14ac:dyDescent="0.25">
      <c r="A10" t="s">
        <v>8</v>
      </c>
      <c r="B10" s="6">
        <v>0.08986583440726573</v>
      </c>
    </row>
    <row r="11" spans="1:2" x14ac:dyDescent="0.25">
      <c r="A11" t="s">
        <v>9</v>
      </c>
      <c r="B11" s="6">
        <v>-0.49693251533742333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4.737991135183932</v>
      </c>
    </row>
    <row r="14" spans="1:3" x14ac:dyDescent="0.25">
      <c r="A14" t="s">
        <v>12</v>
      </c>
      <c r="B14" s="6">
        <v>0.06839722796228384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0.8720300000000001</v>
      </c>
      <c r="C19" s="8" t="s">
        <v>19</v>
      </c>
    </row>
    <row r="20" spans="1:2" x14ac:dyDescent="0.25">
      <c r="A20" t="s">
        <v>20</v>
      </c>
      <c r="B20" s="10">
        <f>B17+B19*B18</f>
        <v>0.09296165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55510077440</v>
      </c>
    </row>
    <row r="23" spans="1:2" x14ac:dyDescent="0.25">
      <c r="A23" t="s">
        <v>24</v>
      </c>
      <c r="B23" s="11">
        <v>71826000000</v>
      </c>
    </row>
    <row r="24" spans="1:2" x14ac:dyDescent="0.25">
      <c r="A24" t="s">
        <v>25</v>
      </c>
      <c r="B24" s="10">
        <f>B22/(B22+B23)</f>
        <v>0.4359336219238889</v>
      </c>
    </row>
    <row r="25" spans="1:2" x14ac:dyDescent="0.25">
      <c r="A25" t="s">
        <v>26</v>
      </c>
      <c r="B25" s="10">
        <f>1-B24</f>
        <v>0.564066378076111</v>
      </c>
    </row>
    <row r="26" spans="1:2" x14ac:dyDescent="0.25">
      <c r="A26" t="s">
        <v>27</v>
      </c>
      <c r="B26" s="12">
        <f>B24*B20+B25*B21*(1-B8)</f>
        <v>0.06839722796228384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16609000000</v>
      </c>
      <c r="C29" s="8" t="s">
        <v>30</v>
      </c>
    </row>
    <row r="30" spans="1:2" x14ac:dyDescent="0.25">
      <c r="A30" t="s">
        <v>31</v>
      </c>
      <c r="B30" s="11">
        <v>-13522000000</v>
      </c>
    </row>
    <row r="31" spans="1:2" x14ac:dyDescent="0.25">
      <c r="A31" t="s">
        <v>32</v>
      </c>
      <c r="B31" s="13">
        <v>8129080119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0.07547186585455679</v>
      </c>
      <c r="C5" s="10">
        <f>Assumptions!B6</f>
        <v>0.07547186585455679</v>
      </c>
      <c r="D5" s="10">
        <f>Assumptions!B6</f>
        <v>0.07547186585455679</v>
      </c>
      <c r="E5" s="10">
        <f>Assumptions!B6</f>
        <v>0.07547186585455679</v>
      </c>
      <c r="F5" s="10">
        <f>Assumptions!B6</f>
        <v>0.07547186585455679</v>
      </c>
    </row>
    <row r="6" spans="1:6" x14ac:dyDescent="0.25">
      <c r="A6" t="s">
        <v>43</v>
      </c>
      <c r="B6" s="18">
        <f>Assumptions!B29*(1+B5)</f>
        <v>17862512219.978333</v>
      </c>
      <c r="C6" s="18">
        <f>B6*(1+C5)</f>
        <v>19210629346.06992</v>
      </c>
      <c r="D6" s="18">
        <f>C6*(1+D5)</f>
        <v>20660491387.05812</v>
      </c>
      <c r="E6" s="18">
        <f>D6*(1+E5)</f>
        <v>22219777221.5114</v>
      </c>
      <c r="F6" s="18">
        <f>E6*(1+F5)</f>
        <v>23896745267.291443</v>
      </c>
    </row>
    <row r="7" spans="1:6" x14ac:dyDescent="0.25">
      <c r="A7" t="s">
        <v>5</v>
      </c>
      <c r="B7" s="10">
        <f>Assumptions!B7</f>
        <v>0.4222992405742029</v>
      </c>
      <c r="C7" s="10">
        <f>Assumptions!B7</f>
        <v>0.4222992405742029</v>
      </c>
      <c r="D7" s="10">
        <f>Assumptions!B7</f>
        <v>0.4222992405742029</v>
      </c>
      <c r="E7" s="10">
        <f>Assumptions!B7</f>
        <v>0.4222992405742029</v>
      </c>
      <c r="F7" s="10">
        <f>Assumptions!B7</f>
        <v>0.4222992405742029</v>
      </c>
    </row>
    <row r="8" spans="1:6" x14ac:dyDescent="0.25">
      <c r="A8" t="s">
        <v>44</v>
      </c>
      <c r="B8" s="18">
        <f>B6*B7</f>
        <v>7543325345.244269</v>
      </c>
      <c r="C8" s="18">
        <f>C6*C7</f>
        <v>8112634183.797824</v>
      </c>
      <c r="D8" s="18">
        <f>D6*D7</f>
        <v>8724909822.644505</v>
      </c>
      <c r="E8" s="18">
        <f>E6*E7</f>
        <v>9383395046.372236</v>
      </c>
      <c r="F8" s="18">
        <f>F6*F7</f>
        <v>10091577378.572353</v>
      </c>
    </row>
    <row r="9" spans="1:6" x14ac:dyDescent="0.25">
      <c r="A9" t="s">
        <v>45</v>
      </c>
      <c r="B9" s="18">
        <f>B8*(1-Assumptions!B8)</f>
        <v>5734416842.554346</v>
      </c>
      <c r="C9" s="18">
        <f>C8*(1-Assumptions!B8)</f>
        <v>6167203981.249719</v>
      </c>
      <c r="D9" s="18">
        <f>D8*(1-Assumptions!B8)</f>
        <v>6632654372.820286</v>
      </c>
      <c r="E9" s="18">
        <f>E8*(1-Assumptions!B8)</f>
        <v>7133233173.905418</v>
      </c>
      <c r="F9" s="18">
        <f>F8*(1-Assumptions!B8)</f>
        <v>7671591591.115683</v>
      </c>
    </row>
    <row r="10" spans="1:6" x14ac:dyDescent="0.25">
      <c r="A10" t="s">
        <v>46</v>
      </c>
      <c r="B10" s="18">
        <f>B6*Assumptions!B9</f>
        <v>1193487921.2682555</v>
      </c>
      <c r="C10" s="18">
        <f>C6*Assumptions!B9</f>
        <v>1283562681.561247</v>
      </c>
      <c r="D10" s="18">
        <f>D6*Assumptions!B9</f>
        <v>1380435552.0799527</v>
      </c>
      <c r="E10" s="18">
        <f>E6*Assumptions!B9</f>
        <v>1484619598.887392</v>
      </c>
      <c r="F10" s="18">
        <f>F6*Assumptions!B9</f>
        <v>1596666610.0996673</v>
      </c>
    </row>
    <row r="11" spans="1:6" x14ac:dyDescent="0.25">
      <c r="A11" t="s">
        <v>47</v>
      </c>
      <c r="B11" s="18">
        <f>-B6*Assumptions!B10</f>
        <v>-1605229565.2583334</v>
      </c>
      <c r="C11" s="18">
        <f>-C6*Assumptions!B10</f>
        <v>-1726379235.6732788</v>
      </c>
      <c r="D11" s="18">
        <f>-D6*Assumptions!B10</f>
        <v>-1856672297.7621047</v>
      </c>
      <c r="E11" s="18">
        <f>-E6*Assumptions!B10</f>
        <v>-1996798820.3546782</v>
      </c>
      <c r="F11" s="18">
        <f>-F6*Assumptions!B10</f>
        <v>-2147500953.0630236</v>
      </c>
    </row>
    <row r="12" spans="1:6" x14ac:dyDescent="0.25">
      <c r="A12" t="s">
        <v>48</v>
      </c>
      <c r="B12" s="18">
        <f>-(B6-Assumptions!B29)*Assumptions!B11</f>
        <v>622910980.4800303</v>
      </c>
      <c r="C12" s="18">
        <f>-(C6-B6)*Assumptions!B11</f>
        <v>669923234.4381506</v>
      </c>
      <c r="D12" s="18">
        <f>-(D6-C6)*Assumptions!B11</f>
        <v>720483590.9205172</v>
      </c>
      <c r="E12" s="18">
        <f>-(E6-D6)*Assumptions!B11</f>
        <v>774859831.8448803</v>
      </c>
      <c r="F12" s="18">
        <f>-(F6-E6)*Assumptions!B11</f>
        <v>833339949.1299608</v>
      </c>
    </row>
    <row r="13" spans="1:6" x14ac:dyDescent="0.25">
      <c r="A13" s="19" t="s">
        <v>49</v>
      </c>
      <c r="B13" s="20">
        <f>B9+B10+B11+B12</f>
        <v>5945586179.044298</v>
      </c>
      <c r="C13" s="20">
        <f>C9+C10+C11+C12</f>
        <v>6394310661.575837</v>
      </c>
      <c r="D13" s="20">
        <f>D9+D10+D11+D12</f>
        <v>6876901218.05865</v>
      </c>
      <c r="E13" s="20">
        <f>E9+E10+E11+E12</f>
        <v>7395913784.283012</v>
      </c>
      <c r="F13" s="20">
        <f>F9+F10+F11+F12</f>
        <v>7954097197.282287</v>
      </c>
    </row>
    <row r="14" spans="1:6" x14ac:dyDescent="0.25">
      <c r="A14" t="s">
        <v>50</v>
      </c>
      <c r="B14" s="21">
        <f>1/(1+Assumptions!$B$26)^(1-0.5*Assumptions!$B$32)</f>
        <v>0.9674613493769642</v>
      </c>
      <c r="C14" s="21">
        <f>1/(1+Assumptions!$B$26)^(2-0.5*Assumptions!$B$32)</f>
        <v>0.9055258887391247</v>
      </c>
      <c r="D14" s="21">
        <f>1/(1+Assumptions!$B$26)^(3-0.5*Assumptions!$B$32)</f>
        <v>0.8475554457083365</v>
      </c>
      <c r="E14" s="21">
        <f>1/(1+Assumptions!$B$26)^(4-0.5*Assumptions!$B$32)</f>
        <v>0.7932961856563866</v>
      </c>
      <c r="F14" s="21">
        <f>1/(1+Assumptions!$B$26)^(5-0.5*Assumptions!$B$32)</f>
        <v>0.7425105240767166</v>
      </c>
    </row>
    <row r="15" spans="1:6" x14ac:dyDescent="0.25">
      <c r="A15" s="19" t="s">
        <v>51</v>
      </c>
      <c r="B15" s="20">
        <f>B13*B14</f>
        <v>5752124827.615225</v>
      </c>
      <c r="C15" s="20">
        <f>C13*C14</f>
        <v>5790213844.69752</v>
      </c>
      <c r="D15" s="20">
        <f>D13*D14</f>
        <v>5828555076.9639015</v>
      </c>
      <c r="E15" s="20">
        <f>E13*E14</f>
        <v>5867150194.515205</v>
      </c>
      <c r="F15" s="20">
        <f>F13*F14</f>
        <v>5906000878.511213</v>
      </c>
    </row>
    <row r="17" spans="1:2" x14ac:dyDescent="0.25">
      <c r="A17" s="22" t="s">
        <v>52</v>
      </c>
      <c r="B17" s="23">
        <f>SUM(B15:F15)</f>
        <v>29144044822.303062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7954097197.282287</v>
      </c>
    </row>
    <row r="5" spans="1:2" x14ac:dyDescent="0.25">
      <c r="A5" t="s">
        <v>56</v>
      </c>
      <c r="B5" s="18">
        <f>IF(Assumptions!$B$33=0,B4,B4-Forecast!F11-Forecast!F10-Forecast!F12)</f>
        <v>7671591591.115683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0.3655118890751787</v>
      </c>
    </row>
    <row r="7" spans="1:2" x14ac:dyDescent="0.25">
      <c r="A7" t="s">
        <v>58</v>
      </c>
      <c r="B7" s="18">
        <f>-MAX(Forecast!F9,0)*B6</f>
        <v>-2804057934.6819487</v>
      </c>
    </row>
    <row r="8" spans="1:2" x14ac:dyDescent="0.25">
      <c r="A8" t="s">
        <v>59</v>
      </c>
      <c r="B8" s="18">
        <f>IF(OR(Assumptions!$B$33=0,Assumptions!B12&lt;=0),B5,MAX(B5+B7,0))</f>
        <v>4867533656.433734</v>
      </c>
    </row>
    <row r="9" spans="1:2" x14ac:dyDescent="0.25">
      <c r="A9" t="s">
        <v>60</v>
      </c>
      <c r="B9" s="18">
        <f>B8*(1+Assumptions!B12)/(Assumptions!B26-Assumptions!B12)</f>
        <v>114966375321.9599</v>
      </c>
    </row>
    <row r="10" spans="1:2" x14ac:dyDescent="0.25">
      <c r="A10" t="s">
        <v>61</v>
      </c>
      <c r="B10" s="18">
        <f>B9/(1+Assumptions!B26)^(5-0.5*Assumptions!B32)</f>
        <v>85363743591.50894</v>
      </c>
    </row>
    <row r="11" spans="1:2" x14ac:dyDescent="0.25">
      <c r="A11" t="s">
        <v>62</v>
      </c>
      <c r="B11" s="18">
        <f>Forecast!B17+B10</f>
        <v>114507788413.81201</v>
      </c>
    </row>
    <row r="12" spans="1:2" x14ac:dyDescent="0.25">
      <c r="A12" t="s">
        <v>63</v>
      </c>
      <c r="B12" s="18">
        <f>-Assumptions!B30</f>
        <v>13522000000</v>
      </c>
    </row>
    <row r="13" spans="1:2" x14ac:dyDescent="0.25">
      <c r="A13" t="s">
        <v>64</v>
      </c>
      <c r="B13" s="18">
        <f>B11+B12</f>
        <v>128029788413.81201</v>
      </c>
    </row>
    <row r="14" spans="1:2" x14ac:dyDescent="0.25">
      <c r="A14" s="19" t="s">
        <v>65</v>
      </c>
      <c r="B14" s="24">
        <f>B13/Assumptions!B31</f>
        <v>15.749603465534747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11688243988.67202</v>
      </c>
    </row>
    <row r="18" spans="1:2" x14ac:dyDescent="0.25">
      <c r="A18" t="s">
        <v>60</v>
      </c>
      <c r="B18" s="18">
        <f>B17*Assumptions!B13</f>
        <v>55378796404.19491</v>
      </c>
    </row>
    <row r="19" spans="1:2" x14ac:dyDescent="0.25">
      <c r="A19" t="s">
        <v>61</v>
      </c>
      <c r="B19" s="18">
        <f>B18/(1+Assumptions!B26)^(5-0.5*Assumptions!B32)</f>
        <v>41119339140.81655</v>
      </c>
    </row>
    <row r="20" spans="1:2" x14ac:dyDescent="0.25">
      <c r="A20" t="s">
        <v>62</v>
      </c>
      <c r="B20" s="18">
        <f>Forecast!B17+B19</f>
        <v>70263383963.11961</v>
      </c>
    </row>
    <row r="21" spans="1:2" x14ac:dyDescent="0.25">
      <c r="A21" t="s">
        <v>63</v>
      </c>
      <c r="B21" s="18">
        <f>-Assumptions!B30</f>
        <v>13522000000</v>
      </c>
    </row>
    <row r="22" spans="1:2" x14ac:dyDescent="0.25">
      <c r="A22" t="s">
        <v>64</v>
      </c>
      <c r="B22" s="18">
        <f>B20+B21</f>
        <v>83785383963.11961</v>
      </c>
    </row>
    <row r="23" spans="1:2" x14ac:dyDescent="0.25">
      <c r="A23" s="19" t="s">
        <v>65</v>
      </c>
      <c r="B23" s="25">
        <f>B22/Assumptions!B31</f>
        <v>10.30687147089239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699.4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1574.9603465534747</v>
      </c>
    </row>
    <row r="29" spans="1:2" x14ac:dyDescent="0.25">
      <c r="A29" s="19" t="s">
        <v>73</v>
      </c>
      <c r="B29" s="12">
        <f>B28/B26-1</f>
        <v>1.2518735295302754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0.048397</v>
      </c>
      <c r="B5" s="31">
        <v>21.42449990613777</v>
      </c>
      <c r="C5" s="31">
        <v>21.5033186792201</v>
      </c>
      <c r="D5" s="31">
        <v>21.582137452302437</v>
      </c>
      <c r="E5" s="31">
        <v>21.660956225384776</v>
      </c>
      <c r="F5" s="31">
        <v>21.7397749984671</v>
      </c>
    </row>
    <row r="6" spans="1:6" x14ac:dyDescent="0.25">
      <c r="A6" s="30">
        <v>0.058397</v>
      </c>
      <c r="B6" s="31">
        <v>18.040403448246686</v>
      </c>
      <c r="C6" s="31">
        <v>18.102993431758787</v>
      </c>
      <c r="D6" s="31">
        <v>18.16558341527088</v>
      </c>
      <c r="E6" s="31">
        <v>18.22817339878298</v>
      </c>
      <c r="F6" s="31">
        <v>18.290763382295076</v>
      </c>
    </row>
    <row r="7" spans="1:6" x14ac:dyDescent="0.25">
      <c r="A7" s="30">
        <v>0.068397</v>
      </c>
      <c r="B7" s="31">
        <v>15.647200921649153</v>
      </c>
      <c r="C7" s="31">
        <v>15.698425695782008</v>
      </c>
      <c r="D7" s="32">
        <v>15.749650469914856</v>
      </c>
      <c r="E7" s="31">
        <v>15.800875244047708</v>
      </c>
      <c r="F7" s="31">
        <v>15.852100018180556</v>
      </c>
    </row>
    <row r="8" spans="1:6" x14ac:dyDescent="0.25">
      <c r="A8" s="30">
        <v>0.078397</v>
      </c>
      <c r="B8" s="31">
        <v>13.865656504174147</v>
      </c>
      <c r="C8" s="31">
        <v>13.90851240331695</v>
      </c>
      <c r="D8" s="31">
        <v>13.951368302459752</v>
      </c>
      <c r="E8" s="31">
        <v>13.994224201602556</v>
      </c>
      <c r="F8" s="31">
        <v>14.037080100745358</v>
      </c>
    </row>
    <row r="9" spans="1:6" x14ac:dyDescent="0.25">
      <c r="A9" s="30">
        <v>0.088397</v>
      </c>
      <c r="B9" s="31">
        <v>12.48814244124991</v>
      </c>
      <c r="C9" s="31">
        <v>12.524603857727719</v>
      </c>
      <c r="D9" s="31">
        <v>12.561065274205523</v>
      </c>
      <c r="E9" s="31">
        <v>12.597526690683331</v>
      </c>
      <c r="F9" s="31">
        <v>12.633988107161137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16609000000</v>
      </c>
      <c r="C5" s="18">
        <v>14653000000</v>
      </c>
      <c r="D5" s="18">
        <v>14781000000</v>
      </c>
      <c r="E5" s="18">
        <v>13352000000</v>
      </c>
      <c r="F5" s="8" t="s">
        <v>84</v>
      </c>
    </row>
    <row r="6" spans="1:6" x14ac:dyDescent="0.25">
      <c r="A6" t="s">
        <v>44</v>
      </c>
      <c r="B6" s="18">
        <v>7708000000</v>
      </c>
      <c r="C6" s="18">
        <v>6195000000</v>
      </c>
      <c r="D6" s="18">
        <v>6178000000</v>
      </c>
      <c r="E6" s="18">
        <v>5132000000</v>
      </c>
      <c r="F6" s="8" t="s">
        <v>85</v>
      </c>
    </row>
    <row r="7" spans="1:6" x14ac:dyDescent="0.25">
      <c r="A7" t="s">
        <v>86</v>
      </c>
      <c r="B7" s="18">
        <v>1154000000</v>
      </c>
      <c r="C7" s="18">
        <v>1058000000</v>
      </c>
      <c r="D7" s="18">
        <v>934000000</v>
      </c>
      <c r="E7" s="18">
        <v>833000000</v>
      </c>
      <c r="F7" s="8" t="s">
        <v>87</v>
      </c>
    </row>
    <row r="8" spans="1:6" x14ac:dyDescent="0.25">
      <c r="A8" t="s">
        <v>88</v>
      </c>
      <c r="B8" s="18">
        <v>1282000000</v>
      </c>
      <c r="C8" s="18">
        <v>1078000000</v>
      </c>
      <c r="D8" s="18">
        <v>1555000000</v>
      </c>
      <c r="E8" s="18">
        <v>1382000000</v>
      </c>
      <c r="F8" s="8" t="s">
        <v>89</v>
      </c>
    </row>
    <row r="9" spans="1:6" x14ac:dyDescent="0.25">
      <c r="A9" t="s">
        <v>90</v>
      </c>
      <c r="B9" s="18">
        <v>-972000000</v>
      </c>
      <c r="C9" s="18">
        <v>7267000000</v>
      </c>
      <c r="D9" s="18">
        <v>25679000000</v>
      </c>
      <c r="E9" s="18">
        <v>48447000000</v>
      </c>
      <c r="F9" s="8" t="s">
        <v>91</v>
      </c>
    </row>
    <row r="10" spans="1:6" x14ac:dyDescent="0.25">
      <c r="A10" t="s">
        <v>92</v>
      </c>
      <c r="B10" s="18">
        <v>71826000000</v>
      </c>
      <c r="C10" s="18">
        <v>65922000000</v>
      </c>
      <c r="D10" s="18">
        <v>60074000000</v>
      </c>
      <c r="E10" s="18">
        <v>55316000000</v>
      </c>
      <c r="F10" s="8" t="s">
        <v>93</v>
      </c>
    </row>
    <row r="11" spans="1:6" x14ac:dyDescent="0.25">
      <c r="A11" t="s">
        <v>94</v>
      </c>
      <c r="B11" s="18">
        <v>85348000000</v>
      </c>
      <c r="C11" s="18">
        <v>93053000000</v>
      </c>
      <c r="D11" s="18">
        <v>104517000000</v>
      </c>
      <c r="E11" s="18">
        <v>145061000000</v>
      </c>
      <c r="F11" s="8" t="s">
        <v>95</v>
      </c>
    </row>
    <row r="12" spans="1:6" x14ac:dyDescent="0.25">
      <c r="A12" t="s">
        <v>32</v>
      </c>
      <c r="B12" s="34">
        <v>8129080119</v>
      </c>
      <c r="C12" s="34">
        <v>8510357815</v>
      </c>
      <c r="D12" s="34">
        <v>9211740042</v>
      </c>
      <c r="E12" s="34">
        <v>9940476190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