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<sst xmlns="http://schemas.openxmlformats.org/spreadsheetml/2006/main" count="112" uniqueCount="100">
  <si>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NRW Holdings Limited (NWH.AX)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</si>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</sst>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0.17197484051334078</v>
      </c>
    </row>
    <row r="7" spans="1:2" x14ac:dyDescent="0.25">
      <c r="A7" t="s">
        <v>5</v>
      </c>
      <c r="B7" s="6">
        <v>0.042262834789030444</v>
      </c>
    </row>
    <row r="8" spans="1:2" x14ac:dyDescent="0.25">
      <c r="A8" t="s">
        <v>6</v>
      </c>
      <c r="B8" s="6">
        <v>0.2792326342640746</v>
      </c>
    </row>
    <row r="9" spans="1:2" x14ac:dyDescent="0.25">
      <c r="A9" t="s">
        <v>7</v>
      </c>
      <c r="B9" s="6">
        <v>0.05163463262736242</v>
      </c>
    </row>
    <row r="10" spans="1:2" x14ac:dyDescent="0.25">
      <c r="A10" t="s">
        <v>8</v>
      </c>
      <c r="B10" s="6">
        <v>0.054881621079492376</v>
      </c>
    </row>
    <row r="11" spans="1:2" x14ac:dyDescent="0.25">
      <c r="A11" t="s">
        <v>9</v>
      </c>
      <c r="B11" s="6">
        <v>0.03096196204882891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8.524793766311435</v>
      </c>
    </row>
    <row r="14" spans="1:3" x14ac:dyDescent="0.25">
      <c r="A14" t="s">
        <v>12</v>
      </c>
      <c r="B14" s="6">
        <v>0.1079877024893116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1.07504</v>
      </c>
      <c r="C19" s="8" t="s">
        <v>19</v>
      </c>
    </row>
    <row r="20" spans="1:2" x14ac:dyDescent="0.25">
      <c r="A20" t="s">
        <v>20</v>
      </c>
      <c r="B20" s="10">
        <f>B17+B19*B18</f>
        <v>0.1179824</v>
      </c>
    </row>
    <row r="21" spans="1:3" x14ac:dyDescent="0.25">
      <c r="A21" t="s">
        <v>21</v>
      </c>
      <c r="B21" s="6">
        <v>0.06049872769451825</v>
      </c>
      <c r="C21" s="8" t="s">
        <v>22</v>
      </c>
    </row>
    <row r="22" spans="1:2" x14ac:dyDescent="0.25">
      <c r="A22" t="s">
        <v>23</v>
      </c>
      <c r="B22" s="11">
        <v>3611410176</v>
      </c>
    </row>
    <row r="23" spans="1:2" x14ac:dyDescent="0.25">
      <c r="A23" t="s">
        <v>24</v>
      </c>
      <c r="B23" s="11">
        <v>585496000</v>
      </c>
    </row>
    <row r="24" spans="1:2" x14ac:dyDescent="0.25">
      <c r="A24" t="s">
        <v>25</v>
      </c>
      <c r="B24" s="10">
        <f>B22/(B22+B23)</f>
        <v>0.860493426479687</v>
      </c>
    </row>
    <row r="25" spans="1:2" x14ac:dyDescent="0.25">
      <c r="A25" t="s">
        <v>26</v>
      </c>
      <c r="B25" s="10">
        <f>1-B24</f>
        <v>0.13950657352031304</v>
      </c>
    </row>
    <row r="26" spans="1:2" x14ac:dyDescent="0.25">
      <c r="A26" t="s">
        <v>27</v>
      </c>
      <c r="B26" s="12">
        <f>B24*B20+B25*B21*(1-B8)</f>
        <v>0.10760633473040356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4293271000</v>
      </c>
      <c r="C29" s="8" t="s">
        <v>30</v>
      </c>
    </row>
    <row r="30" spans="1:2" x14ac:dyDescent="0.25">
      <c r="A30" t="s">
        <v>31</v>
      </c>
      <c r="B30" s="11">
        <v>265828000</v>
      </c>
    </row>
    <row r="31" spans="1:2" x14ac:dyDescent="0.25">
      <c r="A31" t="s">
        <v>32</v>
      </c>
      <c r="B31" s="13">
        <v>464493939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0.17197484051334078</v>
      </c>
      <c r="C5" s="10">
        <f>Assumptions!B6</f>
        <v>0.17197484051334078</v>
      </c>
      <c r="D5" s="10">
        <f>Assumptions!B6</f>
        <v>0.17197484051334078</v>
      </c>
      <c r="E5" s="10">
        <f>Assumptions!B6</f>
        <v>0.17197484051334078</v>
      </c>
      <c r="F5" s="10">
        <f>Assumptions!B6</f>
        <v>0.17197484051334078</v>
      </c>
    </row>
    <row r="6" spans="1:6" x14ac:dyDescent="0.25">
      <c r="A6" t="s">
        <v>43</v>
      </c>
      <c r="B6" s="18">
        <f>Assumptions!B29*(1+B5)</f>
        <v>5031605595.505551</v>
      </c>
      <c r="C6" s="18">
        <f>B6*(1+C5)</f>
        <v>5896915165.318651</v>
      </c>
      <c r="D6" s="18">
        <f>C6*(1+D5)</f>
        <v>6911036210.395027</v>
      </c>
      <c r="E6" s="18">
        <f>D6*(1+E5)</f>
        <v>8099560560.459635</v>
      </c>
      <c r="F6" s="18">
        <f>E6*(1+F5)</f>
        <v>9492481196.072826</v>
      </c>
    </row>
    <row r="7" spans="1:6" x14ac:dyDescent="0.25">
      <c r="A7" t="s">
        <v>5</v>
      </c>
      <c r="B7" s="10">
        <f>Assumptions!B7</f>
        <v>0.042262834789030444</v>
      </c>
      <c r="C7" s="10">
        <f>Assumptions!B7</f>
        <v>0.042262834789030444</v>
      </c>
      <c r="D7" s="10">
        <f>Assumptions!B7</f>
        <v>0.042262834789030444</v>
      </c>
      <c r="E7" s="10">
        <f>Assumptions!B7</f>
        <v>0.042262834789030444</v>
      </c>
      <c r="F7" s="10">
        <f>Assumptions!B7</f>
        <v>0.042262834789030444</v>
      </c>
    </row>
    <row r="8" spans="1:6" x14ac:dyDescent="0.25">
      <c r="A8" t="s">
        <v>44</v>
      </c>
      <c r="B8" s="18">
        <f>B6*B7</f>
        <v>212649916.00641227</v>
      </c>
      <c r="C8" s="18">
        <f>C6*C7</f>
        <v>249220351.3967903</v>
      </c>
      <c r="D8" s="18">
        <f>D6*D7</f>
        <v>292079981.5809321</v>
      </c>
      <c r="E8" s="18">
        <f>E6*E7</f>
        <v>342310389.8304524</v>
      </c>
      <c r="F8" s="18">
        <f>F6*F7</f>
        <v>401179164.527604</v>
      </c>
    </row>
    <row r="9" spans="1:6" x14ac:dyDescent="0.25">
      <c r="A9" t="s">
        <v>45</v>
      </c>
      <c r="B9" s="18">
        <f>B8*(1-Assumptions!B8)</f>
        <v>153271119.7839076</v>
      </c>
      <c r="C9" s="18">
        <f>C8*(1-Assumptions!B8)</f>
        <v>179629896.16404623</v>
      </c>
      <c r="D9" s="18">
        <f>D8*(1-Assumptions!B8)</f>
        <v>210521718.90828606</v>
      </c>
      <c r="E9" s="18">
        <f>E8*(1-Assumptions!B8)</f>
        <v>246726157.9421329</v>
      </c>
      <c r="F9" s="18">
        <f>F8*(1-Assumptions!B8)</f>
        <v>289156849.60470057</v>
      </c>
    </row>
    <row r="10" spans="1:6" x14ac:dyDescent="0.25">
      <c r="A10" t="s">
        <v>46</v>
      </c>
      <c r="B10" s="18">
        <f>B6*Assumptions!B9</f>
        <v>259805106.44971025</v>
      </c>
      <c r="C10" s="18">
        <f>C6*Assumptions!B9</f>
        <v>304485048.1959507</v>
      </c>
      <c r="D10" s="18">
        <f>D6*Assumptions!B9</f>
        <v>356848815.7981462</v>
      </c>
      <c r="E10" s="18">
        <f>E6*Assumptions!B9</f>
        <v>418217833.9824069</v>
      </c>
      <c r="F10" s="18">
        <f>F6*Assumptions!B9</f>
        <v>490140779.28136617</v>
      </c>
    </row>
    <row r="11" spans="1:6" x14ac:dyDescent="0.25">
      <c r="A11" t="s">
        <v>47</v>
      </c>
      <c r="B11" s="18">
        <f>-B6*Assumptions!B10</f>
        <v>-276142671.71398926</v>
      </c>
      <c r="C11" s="18">
        <f>-C6*Assumptions!B10</f>
        <v>-323632263.64093035</v>
      </c>
      <c r="D11" s="18">
        <f>-D6*Assumptions!B10</f>
        <v>-379288870.5655508</v>
      </c>
      <c r="E11" s="18">
        <f>-E6*Assumptions!B10</f>
        <v>-444517013.58954656</v>
      </c>
      <c r="F11" s="18">
        <f>-F6*Assumptions!B10</f>
        <v>-520962756.10707545</v>
      </c>
    </row>
    <row r="12" spans="1:6" x14ac:dyDescent="0.25">
      <c r="A12" t="s">
        <v>48</v>
      </c>
      <c r="B12" s="18">
        <f>-(B6-Assumptions!B29)*Assumptions!B11</f>
        <v>-22860287.725380324</v>
      </c>
      <c r="C12" s="18">
        <f>-(C6-B6)*Assumptions!B11</f>
        <v>-26791682.061041668</v>
      </c>
      <c r="D12" s="18">
        <f>-(D6-C6)*Assumptions!B11</f>
        <v>-31399177.310573462</v>
      </c>
      <c r="E12" s="18">
        <f>-(E6-D6)*Assumptions!B11</f>
        <v>-36799045.820809424</v>
      </c>
      <c r="F12" s="18">
        <f>-(F6-E6)*Assumptions!B11</f>
        <v>-43127555.85688628</v>
      </c>
    </row>
    <row r="13" spans="1:6" x14ac:dyDescent="0.25">
      <c r="A13" s="19" t="s">
        <v>49</v>
      </c>
      <c r="B13" s="20">
        <f>B9+B10+B11+B12</f>
        <v>114073266.79424825</v>
      </c>
      <c r="C13" s="20">
        <f>C9+C10+C11+C12</f>
        <v>133690998.65802489</v>
      </c>
      <c r="D13" s="20">
        <f>D9+D10+D11+D12</f>
        <v>156682486.83030796</v>
      </c>
      <c r="E13" s="20">
        <f>E9+E10+E11+E12</f>
        <v>183627932.51418382</v>
      </c>
      <c r="F13" s="20">
        <f>F9+F10+F11+F12</f>
        <v>215207316.92210495</v>
      </c>
    </row>
    <row r="14" spans="1:6" x14ac:dyDescent="0.25">
      <c r="A14" t="s">
        <v>50</v>
      </c>
      <c r="B14" s="21">
        <f>1/(1+Assumptions!$B$26)^(1-0.5*Assumptions!$B$32)</f>
        <v>0.9501830622800344</v>
      </c>
      <c r="C14" s="21">
        <f>1/(1+Assumptions!$B$26)^(2-0.5*Assumptions!$B$32)</f>
        <v>0.857870736637953</v>
      </c>
      <c r="D14" s="21">
        <f>1/(1+Assumptions!$B$26)^(3-0.5*Assumptions!$B$32)</f>
        <v>0.7745267517332886</v>
      </c>
      <c r="E14" s="21">
        <f>1/(1+Assumptions!$B$26)^(4-0.5*Assumptions!$B$32)</f>
        <v>0.6992798139980049</v>
      </c>
      <c r="F14" s="21">
        <f>1/(1+Assumptions!$B$26)^(5-0.5*Assumptions!$B$32)</f>
        <v>0.6313432779058752</v>
      </c>
    </row>
    <row r="15" spans="1:6" x14ac:dyDescent="0.25">
      <c r="A15" s="19" t="s">
        <v>51</v>
      </c>
      <c r="B15" s="20">
        <f>B13*B14</f>
        <v>108390485.96684617</v>
      </c>
      <c r="C15" s="20">
        <f>C13*C14</f>
        <v>114689595.5006234</v>
      </c>
      <c r="D15" s="20">
        <f>D13*D14</f>
        <v>121354777.57817219</v>
      </c>
      <c r="E15" s="20">
        <f>E13*E14</f>
        <v>128407306.49335665</v>
      </c>
      <c r="F15" s="20">
        <f>F13*F14</f>
        <v>135869692.89493027</v>
      </c>
    </row>
    <row r="17" spans="1:2" x14ac:dyDescent="0.25">
      <c r="A17" s="22" t="s">
        <v>52</v>
      </c>
      <c r="B17" s="23">
        <f>SUM(B15:F15)</f>
        <v>608711858.4339287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215207316.92210495</v>
      </c>
    </row>
    <row r="5" spans="1:2" x14ac:dyDescent="0.25">
      <c r="A5" t="s">
        <v>56</v>
      </c>
      <c r="B5" s="18">
        <f>IF(Assumptions!$B$33=0,B4,B4-Forecast!F11-Forecast!F10-Forecast!F12)</f>
        <v>289156849.60470057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0.2315078423163457</v>
      </c>
    </row>
    <row r="7" spans="1:2" x14ac:dyDescent="0.25">
      <c r="A7" t="s">
        <v>58</v>
      </c>
      <c r="B7" s="18">
        <f>-MAX(Forecast!F9,0)*B6</f>
        <v>-66942078.3429763</v>
      </c>
    </row>
    <row r="8" spans="1:2" x14ac:dyDescent="0.25">
      <c r="A8" t="s">
        <v>59</v>
      </c>
      <c r="B8" s="18">
        <f>IF(OR(Assumptions!$B$33=0,Assumptions!B12&lt;=0),B5,MAX(B5+B7,0))</f>
        <v>222214771.26172426</v>
      </c>
    </row>
    <row r="9" spans="1:2" x14ac:dyDescent="0.25">
      <c r="A9" t="s">
        <v>60</v>
      </c>
      <c r="B9" s="18">
        <f>B8*(1+Assumptions!B12)/(Assumptions!B26-Assumptions!B12)</f>
        <v>2757296293.1550546</v>
      </c>
    </row>
    <row r="10" spans="1:2" x14ac:dyDescent="0.25">
      <c r="A10" t="s">
        <v>61</v>
      </c>
      <c r="B10" s="18">
        <f>B9/(1+Assumptions!B26)^(5-0.5*Assumptions!B32)</f>
        <v>1740800479.878231</v>
      </c>
    </row>
    <row r="11" spans="1:2" x14ac:dyDescent="0.25">
      <c r="A11" t="s">
        <v>62</v>
      </c>
      <c r="B11" s="18">
        <f>Forecast!B17+B10</f>
        <v>2349512338.3121595</v>
      </c>
    </row>
    <row r="12" spans="1:2" x14ac:dyDescent="0.25">
      <c r="A12" t="s">
        <v>63</v>
      </c>
      <c r="B12" s="18">
        <f>-Assumptions!B30</f>
        <v>-265828000</v>
      </c>
    </row>
    <row r="13" spans="1:2" x14ac:dyDescent="0.25">
      <c r="A13" t="s">
        <v>64</v>
      </c>
      <c r="B13" s="18">
        <f>B11+B12</f>
        <v>2083684338.3121595</v>
      </c>
    </row>
    <row r="14" spans="1:2" x14ac:dyDescent="0.25">
      <c r="A14" s="19" t="s">
        <v>65</v>
      </c>
      <c r="B14" s="24">
        <f>B13/Assumptions!B31</f>
        <v>4.485923632928523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891319943.8089702</v>
      </c>
    </row>
    <row r="18" spans="1:2" x14ac:dyDescent="0.25">
      <c r="A18" t="s">
        <v>60</v>
      </c>
      <c r="B18" s="18">
        <f>B17*Assumptions!B13</f>
        <v>7598318700.771768</v>
      </c>
    </row>
    <row r="19" spans="1:2" x14ac:dyDescent="0.25">
      <c r="A19" t="s">
        <v>61</v>
      </c>
      <c r="B19" s="18">
        <f>B18/(1+Assumptions!B26)^(5-0.5*Assumptions!B32)</f>
        <v>4797147435.118758</v>
      </c>
    </row>
    <row r="20" spans="1:2" x14ac:dyDescent="0.25">
      <c r="A20" t="s">
        <v>62</v>
      </c>
      <c r="B20" s="18">
        <f>Forecast!B17+B19</f>
        <v>5405859293.552687</v>
      </c>
    </row>
    <row r="21" spans="1:2" x14ac:dyDescent="0.25">
      <c r="A21" t="s">
        <v>63</v>
      </c>
      <c r="B21" s="18">
        <f>-Assumptions!B30</f>
        <v>-265828000</v>
      </c>
    </row>
    <row r="22" spans="1:2" x14ac:dyDescent="0.25">
      <c r="A22" t="s">
        <v>64</v>
      </c>
      <c r="B22" s="18">
        <f>B20+B21</f>
        <v>5140031293.552687</v>
      </c>
    </row>
    <row r="23" spans="1:2" x14ac:dyDescent="0.25">
      <c r="A23" s="19" t="s">
        <v>65</v>
      </c>
      <c r="B23" s="25">
        <f>B22/Assumptions!B31</f>
        <v>11.06587376493773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4.485923632928523</v>
      </c>
    </row>
    <row r="29" spans="1:2" x14ac:dyDescent="0.25">
      <c r="A29" s="19" t="s">
        <v>73</v>
      </c>
      <c r="B29" s="12">
        <f>B28/B26-1</f>
        <v>-0.4292718024263966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0.087606</v>
      </c>
      <c r="B5" s="31">
        <v>5.937965959257627</v>
      </c>
      <c r="C5" s="31">
        <v>6.046922051177157</v>
      </c>
      <c r="D5" s="31">
        <v>6.170126516984476</v>
      </c>
      <c r="E5" s="31">
        <v>6.311289484241247</v>
      </c>
      <c r="F5" s="31">
        <v>6.475531614502072</v>
      </c>
    </row>
    <row r="6" spans="1:6" x14ac:dyDescent="0.25">
      <c r="A6" s="30">
        <v>0.097606</v>
      </c>
      <c r="B6" s="31">
        <v>5.101340535076309</v>
      </c>
      <c r="C6" s="31">
        <v>5.153989901527236</v>
      </c>
      <c r="D6" s="31">
        <v>5.211279884242619</v>
      </c>
      <c r="E6" s="31">
        <v>5.274240114378967</v>
      </c>
      <c r="F6" s="31">
        <v>5.3442291472075665</v>
      </c>
    </row>
    <row r="7" spans="1:6" x14ac:dyDescent="0.25">
      <c r="A7" s="30">
        <v>0.107606</v>
      </c>
      <c r="B7" s="31">
        <v>4.4475382228169975</v>
      </c>
      <c r="C7" s="31">
        <v>4.466684186917446</v>
      </c>
      <c r="D7" s="32">
        <v>4.4859449507855675</v>
      </c>
      <c r="E7" s="31">
        <v>4.50534270338246</v>
      </c>
      <c r="F7" s="31">
        <v>4.524905745825546</v>
      </c>
    </row>
    <row r="8" spans="1:6" x14ac:dyDescent="0.25">
      <c r="A8" s="30">
        <v>0.117606</v>
      </c>
      <c r="B8" s="31">
        <v>3.9654225782252306</v>
      </c>
      <c r="C8" s="31">
        <v>3.981469609433646</v>
      </c>
      <c r="D8" s="31">
        <v>3.9975166406420604</v>
      </c>
      <c r="E8" s="31">
        <v>4.013563671850474</v>
      </c>
      <c r="F8" s="31">
        <v>4.02961070305889</v>
      </c>
    </row>
    <row r="9" spans="1:6" x14ac:dyDescent="0.25">
      <c r="A9" s="30">
        <v>0.127606</v>
      </c>
      <c r="B9" s="31">
        <v>3.5630205459317827</v>
      </c>
      <c r="C9" s="31">
        <v>3.577228912091056</v>
      </c>
      <c r="D9" s="31">
        <v>3.591437278250328</v>
      </c>
      <c r="E9" s="31">
        <v>3.6056456444096012</v>
      </c>
      <c r="F9" s="31">
        <v>3.6198540105688735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4293271000</v>
      </c>
      <c r="C5" s="18">
        <v>3267690000</v>
      </c>
      <c r="D5" s="18">
        <v>2913007000</v>
      </c>
      <c r="E5" s="18">
        <v>2667064000</v>
      </c>
      <c r="F5" s="8" t="s">
        <v>84</v>
      </c>
    </row>
    <row r="6" spans="1:6" x14ac:dyDescent="0.25">
      <c r="A6" t="s">
        <v>44</v>
      </c>
      <c r="B6" s="18">
        <v>239740000</v>
      </c>
      <c r="C6" s="18">
        <v>53293000</v>
      </c>
      <c r="D6" s="18">
        <v>133103000</v>
      </c>
      <c r="E6" s="18">
        <v>136577000</v>
      </c>
      <c r="F6" s="8" t="s">
        <v>85</v>
      </c>
    </row>
    <row r="7" spans="1:6" x14ac:dyDescent="0.25">
      <c r="A7" t="s">
        <v>86</v>
      </c>
      <c r="B7" s="18">
        <v>215079000</v>
      </c>
      <c r="C7" s="18">
        <v>190590000</v>
      </c>
      <c r="D7" s="18">
        <v>145553000</v>
      </c>
      <c r="E7" s="18">
        <v>128418000</v>
      </c>
      <c r="F7" s="8" t="s">
        <v>87</v>
      </c>
    </row>
    <row r="8" spans="1:6" x14ac:dyDescent="0.25">
      <c r="A8" t="s">
        <v>88</v>
      </c>
      <c r="B8" s="18">
        <v>150950000</v>
      </c>
      <c r="C8" s="18">
        <v>154425000</v>
      </c>
      <c r="D8" s="18">
        <v>194831000</v>
      </c>
      <c r="E8" s="18">
        <v>187296000</v>
      </c>
      <c r="F8" s="8" t="s">
        <v>89</v>
      </c>
    </row>
    <row r="9" spans="1:6" x14ac:dyDescent="0.25">
      <c r="A9" t="s">
        <v>90</v>
      </c>
      <c r="B9" s="18">
        <v>31754000</v>
      </c>
      <c r="C9" s="18">
        <v>-25599000</v>
      </c>
      <c r="D9" s="18">
        <v>66814000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585496000</v>
      </c>
      <c r="C10" s="18">
        <v>411120000</v>
      </c>
      <c r="D10" s="18">
        <v>325459000</v>
      </c>
      <c r="E10" s="18">
        <v>311920000</v>
      </c>
      <c r="F10" s="8" t="s">
        <v>93</v>
      </c>
    </row>
    <row r="11" spans="1:6" x14ac:dyDescent="0.25">
      <c r="A11" t="s">
        <v>94</v>
      </c>
      <c r="B11" s="18">
        <v>319668000</v>
      </c>
      <c r="C11" s="18">
        <v>265744000</v>
      </c>
      <c r="D11" s="18">
        <v>246648000</v>
      </c>
      <c r="E11" s="18">
        <v>227580000</v>
      </c>
      <c r="F11" s="8" t="s">
        <v>95</v>
      </c>
    </row>
    <row r="12" spans="1:6" x14ac:dyDescent="0.25">
      <c r="A12" t="s">
        <v>32</v>
      </c>
      <c r="B12" s="34">
        <v>464493939</v>
      </c>
      <c r="C12" s="34">
        <v>461233333</v>
      </c>
      <c r="D12" s="34">
        <v>462977974</v>
      </c>
      <c r="E12" s="34">
        <v>460403226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2026-09-19T00:06:26Z</dcterms:modified>
</cp:coreProperties>
</file>