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<sst xmlns="http://schemas.openxmlformats.org/spreadsheetml/2006/main" count="114" uniqueCount="101">
  <si>
    <t>Netwealth Group Limited (NWL.AX)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</si>
  <si>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</si>
  <si>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</si>
  <si>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</si>
  <si>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</si>
  <si>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</si>
  <si>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</si>
  <si>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</si>
  <si>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</si>
  <si>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</si>
  <si>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</si>
  <si>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</si>
  <si>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</si>
  <si>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</si>
  <si>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</si>
  <si>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</si>
  <si>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</si>
  <si>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</si>
  <si>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</si>
  <si>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</si>
  <si>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</si>
  <si>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</si>
  <si>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</si>
  <si>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</si>
  <si>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</si>
  <si>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</si>
  <si>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</si>
  <si>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</si>
  <si>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</si>
  <si>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</si>
  <si>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</si>
  <si>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</si>
  <si>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</si>
  <si>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</si>
  <si>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</si>
  <si>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</si>
  <si>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</si>
  <si>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</si>
  <si>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</si>
  <si>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</si>
  <si>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</si>
  <si>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</si>
  <si>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</si>
  <si>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</si>
  <si>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</si>
  <si>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</si>
  <si>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</si>
  <si>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</si>
  <si>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</si>
  <si>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</si>
  <si>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</si>
  <si>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</si>
  <si>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</si>
  <si>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</si>
  <si>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</si>
  <si>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</si>
  <si>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</si>
  <si>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</si>
  <si>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</si>
  <si>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</si>
  <si>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</si>
  <si>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</si>
  <si>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</si>
  <si>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</si>
  <si>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</si>
  <si>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</si>
  <si>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</si>
  <si>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</si>
  <si>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</si>
  <si>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</si>
  <si>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</si>
  <si>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</si>
  <si>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</si>
  <si>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</si>
  <si>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</si>
  <si>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</si>
  <si>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</si>
  <si>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</si>
  <si>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</si>
  <si>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</si>
  <si>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</si>
  <si>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</si>
  <si>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</si>
  <si>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</si>
  <si>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</si>
  <si>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derived</t>
  </si>
  <si>
    <t>Depreciation &amp; amortisation</t>
  </si>
  <si>
    <t>reconciledDepreciation</t>
  </si>
  <si>
    <t>Capital expenditure</t>
  </si>
  <si>
    <t>capitalExpenditure</t>
  </si>
  <si>
    <t>Change in working capital</t>
  </si>
  <si>
    <t>Total debt</t>
  </si>
  <si>
    <t>totalDebt</t>
  </si>
  <si>
    <t>Cash and equivalents</t>
  </si>
  <si>
    <t>cashAndCashEquivalents</t>
  </si>
  <si>
    <t>ordinarySharesNumber</t>
  </si>
  <si>
    <t>Model notes</t>
  </si>
  <si>
    <t>Adjusted: Some line items were not reported and have been derived. Each one is labelled in the workings below.</t>
  </si>
  <si>
    <t>Adjusted: Capital expenditure runs at 2.7% of revenue against depreciation of 1.8%. A perpetuity has to be a steady state, so the terminal year uses maintenance capex at depreciation and then charges the reinvestment terminal growth requires (g/ROIC of NOPAT). The bridge is shown under Terminal Value.</t>
  </si>
  <si>
    <t>Current EV/EBITDA of 53.2x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</si>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</sst>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0.21606837242762578</v>
      </c>
    </row>
    <row r="7" spans="1:2" x14ac:dyDescent="0.25">
      <c r="A7" t="s">
        <v>5</v>
      </c>
      <c r="B7" s="6">
        <v>0.41435741085739647</v>
      </c>
    </row>
    <row r="8" spans="1:2" x14ac:dyDescent="0.25">
      <c r="A8" t="s">
        <v>6</v>
      </c>
      <c r="B8" s="6">
        <v>0.2830703967483513</v>
      </c>
    </row>
    <row r="9" spans="1:2" x14ac:dyDescent="0.25">
      <c r="A9" t="s">
        <v>7</v>
      </c>
      <c r="B9" s="6">
        <v>0.017774595198790516</v>
      </c>
    </row>
    <row r="10" spans="1:2" x14ac:dyDescent="0.25">
      <c r="A10" t="s">
        <v>8</v>
      </c>
      <c r="B10" s="6">
        <v>0.027187975942474775</v>
      </c>
    </row>
    <row r="11" spans="1:2" x14ac:dyDescent="0.25">
      <c r="A11" t="s">
        <v>9</v>
      </c>
      <c r="B11" s="6">
        <v>-0.1014185114053708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0.5118042792250341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1.06231</v>
      </c>
      <c r="C19" s="8" t="s">
        <v>19</v>
      </c>
    </row>
    <row r="20" spans="1:2" x14ac:dyDescent="0.25">
      <c r="A20" t="s">
        <v>20</v>
      </c>
      <c r="B20" s="10">
        <f>B17+B19*B18</f>
        <v>0.1172186</v>
      </c>
    </row>
    <row r="21" spans="1:3" x14ac:dyDescent="0.25">
      <c r="A21" t="s">
        <v>21</v>
      </c>
      <c r="B21" s="6">
        <v>0.07348</v>
      </c>
      <c r="C21" s="8" t="s">
        <v>22</v>
      </c>
    </row>
    <row r="22" spans="1:2" x14ac:dyDescent="0.25">
      <c r="A22" t="s">
        <v>23</v>
      </c>
      <c r="B22" s="11">
        <v>4630610944</v>
      </c>
    </row>
    <row r="23" spans="1:2" x14ac:dyDescent="0.25">
      <c r="A23" t="s">
        <v>24</v>
      </c>
      <c r="B23" s="11">
        <v>70409000</v>
      </c>
    </row>
    <row r="24" spans="1:2" x14ac:dyDescent="0.25">
      <c r="A24" t="s">
        <v>25</v>
      </c>
      <c r="B24" s="10">
        <f>B22/(B22+B23)</f>
        <v>0.9850226119355515</v>
      </c>
    </row>
    <row r="25" spans="1:2" x14ac:dyDescent="0.25">
      <c r="A25" t="s">
        <v>26</v>
      </c>
      <c r="B25" s="10">
        <f>1-B24</f>
        <v>0.014977388064448482</v>
      </c>
    </row>
    <row r="26" spans="1:2" x14ac:dyDescent="0.25">
      <c r="A26" t="s">
        <v>27</v>
      </c>
      <c r="B26" s="12">
        <f>B24*B20+B25*B21*(1-B8)</f>
        <v>0.11625198015165612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371654000</v>
      </c>
      <c r="C29" s="8" t="s">
        <v>30</v>
      </c>
    </row>
    <row r="30" spans="1:2" x14ac:dyDescent="0.25">
      <c r="A30" t="s">
        <v>31</v>
      </c>
      <c r="B30" s="11">
        <v>-78987000</v>
      </c>
    </row>
    <row r="31" spans="1:2" x14ac:dyDescent="0.25">
      <c r="A31" t="s">
        <v>32</v>
      </c>
      <c r="B31" s="13">
        <v>245396703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0.21606837242762578</v>
      </c>
      <c r="C5" s="10">
        <f>Assumptions!B6</f>
        <v>0.21606837242762578</v>
      </c>
      <c r="D5" s="10">
        <f>Assumptions!B6</f>
        <v>0.21606837242762578</v>
      </c>
      <c r="E5" s="10">
        <f>Assumptions!B6</f>
        <v>0.21606837242762578</v>
      </c>
      <c r="F5" s="10">
        <f>Assumptions!B6</f>
        <v>0.21606837242762578</v>
      </c>
    </row>
    <row r="6" spans="1:6" x14ac:dyDescent="0.25">
      <c r="A6" t="s">
        <v>43</v>
      </c>
      <c r="B6" s="18">
        <f>Assumptions!B29*(1+B5)</f>
        <v>451956674.8862168</v>
      </c>
      <c r="C6" s="18">
        <f>B6*(1+C5)</f>
        <v>549610218.0366833</v>
      </c>
      <c r="D6" s="18">
        <f>C6*(1+D5)</f>
        <v>668363603.317462</v>
      </c>
      <c r="E6" s="18">
        <f>D6*(1+E5)</f>
        <v>812775839.2761292</v>
      </c>
      <c r="F6" s="18">
        <f>E6*(1+F5)</f>
        <v>988390992.0170201</v>
      </c>
    </row>
    <row r="7" spans="1:6" x14ac:dyDescent="0.25">
      <c r="A7" t="s">
        <v>5</v>
      </c>
      <c r="B7" s="10">
        <f>Assumptions!B7</f>
        <v>0.41435741085739647</v>
      </c>
      <c r="C7" s="10">
        <f>Assumptions!B7</f>
        <v>0.41435741085739647</v>
      </c>
      <c r="D7" s="10">
        <f>Assumptions!B7</f>
        <v>0.41435741085739647</v>
      </c>
      <c r="E7" s="10">
        <f>Assumptions!B7</f>
        <v>0.41435741085739647</v>
      </c>
      <c r="F7" s="10">
        <f>Assumptions!B7</f>
        <v>0.41435741085739647</v>
      </c>
    </row>
    <row r="8" spans="1:6" x14ac:dyDescent="0.25">
      <c r="A8" t="s">
        <v>44</v>
      </c>
      <c r="B8" s="18">
        <f>B6*B7</f>
        <v>187271597.6255709</v>
      </c>
      <c r="C8" s="18">
        <f>C6*C7</f>
        <v>227735066.92644924</v>
      </c>
      <c r="D8" s="18">
        <f>D6*D7</f>
        <v>276941412.18194354</v>
      </c>
      <c r="E8" s="18">
        <f>E6*E7</f>
        <v>336779692.36990434</v>
      </c>
      <c r="F8" s="18">
        <f>F6*F7</f>
        <v>409547132.3669461</v>
      </c>
    </row>
    <row r="9" spans="1:6" x14ac:dyDescent="0.25">
      <c r="A9" t="s">
        <v>45</v>
      </c>
      <c r="B9" s="18">
        <f>B8*(1-Assumptions!B8)</f>
        <v>134260552.18600294</v>
      </c>
      <c r="C9" s="18">
        <f>C8*(1-Assumptions!B8)</f>
        <v>163270011.1780669</v>
      </c>
      <c r="D9" s="18">
        <f>D8*(1-Assumptions!B8)</f>
        <v>198547496.7595521</v>
      </c>
      <c r="E9" s="18">
        <f>E8*(1-Assumptions!B8)</f>
        <v>241447331.2339678</v>
      </c>
      <c r="F9" s="18">
        <f>F8*(1-Assumptions!B8)</f>
        <v>293616463.1206851</v>
      </c>
    </row>
    <row r="10" spans="1:6" x14ac:dyDescent="0.25">
      <c r="A10" t="s">
        <v>46</v>
      </c>
      <c r="B10" s="18">
        <f>B6*Assumptions!B9</f>
        <v>8033346.943493876</v>
      </c>
      <c r="C10" s="18">
        <f>C6*Assumptions!B9</f>
        <v>9769099.14272104</v>
      </c>
      <c r="D10" s="18">
        <f>D6*Assumptions!B9</f>
        <v>11879892.494572889</v>
      </c>
      <c r="E10" s="18">
        <f>E6*Assumptions!B9</f>
        <v>14446761.530490419</v>
      </c>
      <c r="F10" s="18">
        <f>F6*Assumptions!B9</f>
        <v>17568249.78123352</v>
      </c>
    </row>
    <row r="11" spans="1:6" x14ac:dyDescent="0.25">
      <c r="A11" t="s">
        <v>47</v>
      </c>
      <c r="B11" s="18">
        <f>-B6*Assumptions!B10</f>
        <v>-12287787.203847356</v>
      </c>
      <c r="C11" s="18">
        <f>-C6*Assumptions!B10</f>
        <v>-14942789.385719663</v>
      </c>
      <c r="D11" s="18">
        <f>-D6*Assumptions!B10</f>
        <v>-18171453.56782091</v>
      </c>
      <c r="E11" s="18">
        <f>-E6*Assumptions!B10</f>
        <v>-22097729.964864146</v>
      </c>
      <c r="F11" s="18">
        <f>-F6*Assumptions!B10</f>
        <v>-26872350.51271752</v>
      </c>
    </row>
    <row r="12" spans="1:6" x14ac:dyDescent="0.25">
      <c r="A12" t="s">
        <v>48</v>
      </c>
      <c r="B12" s="18">
        <f>-(B6-Assumptions!B29)*Assumptions!B11</f>
        <v>8144177.748829563</v>
      </c>
      <c r="C12" s="18">
        <f>-(C6-B6)*Assumptions!B11</f>
        <v>9903876.979780456</v>
      </c>
      <c r="D12" s="18">
        <f>-(D6-C6)*Assumptions!B11</f>
        <v>12043791.55952504</v>
      </c>
      <c r="E12" s="18">
        <f>-(E6-D6)*Assumptions!B11</f>
        <v>14646073.999649195</v>
      </c>
      <c r="F12" s="18">
        <f>-(F6-E6)*Assumptions!B11</f>
        <v>17810627.371207975</v>
      </c>
    </row>
    <row r="13" spans="1:6" x14ac:dyDescent="0.25">
      <c r="A13" s="19" t="s">
        <v>49</v>
      </c>
      <c r="B13" s="20">
        <f>B9+B10+B11+B12</f>
        <v>138150289.67447904</v>
      </c>
      <c r="C13" s="20">
        <f>C9+C10+C11+C12</f>
        <v>168000197.91484874</v>
      </c>
      <c r="D13" s="20">
        <f>D9+D10+D11+D12</f>
        <v>204299727.2458291</v>
      </c>
      <c r="E13" s="20">
        <f>E9+E10+E11+E12</f>
        <v>248442436.7992433</v>
      </c>
      <c r="F13" s="20">
        <f>F9+F10+F11+F12</f>
        <v>302122989.76040906</v>
      </c>
    </row>
    <row r="14" spans="1:6" x14ac:dyDescent="0.25">
      <c r="A14" t="s">
        <v>50</v>
      </c>
      <c r="B14" s="21">
        <f>1/(1+Assumptions!$B$26)^(1-0.5*Assumptions!$B$32)</f>
        <v>0.9464962090509917</v>
      </c>
      <c r="C14" s="21">
        <f>1/(1+Assumptions!$B$26)^(2-0.5*Assumptions!$B$32)</f>
        <v>0.8479234311614829</v>
      </c>
      <c r="D14" s="21">
        <f>1/(1+Assumptions!$B$26)^(3-0.5*Assumptions!$B$32)</f>
        <v>0.7596165079557418</v>
      </c>
      <c r="E14" s="21">
        <f>1/(1+Assumptions!$B$26)^(4-0.5*Assumptions!$B$32)</f>
        <v>0.6805063027548123</v>
      </c>
      <c r="F14" s="21">
        <f>1/(1+Assumptions!$B$26)^(5-0.5*Assumptions!$B$32)</f>
        <v>0.6096350240403223</v>
      </c>
    </row>
    <row r="15" spans="1:6" x14ac:dyDescent="0.25">
      <c r="A15" s="19" t="s">
        <v>51</v>
      </c>
      <c r="B15" s="20">
        <f>B13*B14</f>
        <v>130758725.45619078</v>
      </c>
      <c r="C15" s="20">
        <f>C13*C14</f>
        <v>142451304.25176677</v>
      </c>
      <c r="D15" s="20">
        <f>D13*D14</f>
        <v>155189445.3867872</v>
      </c>
      <c r="E15" s="20">
        <f>E13*E14</f>
        <v>169066644.1136492</v>
      </c>
      <c r="F15" s="20">
        <f>F13*F14</f>
        <v>184184756.12572104</v>
      </c>
    </row>
    <row r="17" spans="1:2" x14ac:dyDescent="0.25">
      <c r="A17" s="22" t="s">
        <v>52</v>
      </c>
      <c r="B17" s="23">
        <f>SUM(B15:F15)</f>
        <v>781650875.334115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302122989.76040906</v>
      </c>
    </row>
    <row r="5" spans="1:2" x14ac:dyDescent="0.25">
      <c r="A5" t="s">
        <v>56</v>
      </c>
      <c r="B5" s="18">
        <f>IF(Assumptions!$B$33=0,B4,B4-Forecast!F11-Forecast!F10-Forecast!F12)</f>
        <v>293616463.1206851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0.04884679752552011</v>
      </c>
    </row>
    <row r="7" spans="1:2" x14ac:dyDescent="0.25">
      <c r="A7" t="s">
        <v>58</v>
      </c>
      <c r="B7" s="18">
        <f>-MAX(Forecast!F9,0)*B6</f>
        <v>-14342223.924215447</v>
      </c>
    </row>
    <row r="8" spans="1:2" x14ac:dyDescent="0.25">
      <c r="A8" t="s">
        <v>59</v>
      </c>
      <c r="B8" s="18">
        <f>IF(OR(Assumptions!$B$33=0,Assumptions!B12&lt;=0),B5,MAX(B5+B7,0))</f>
        <v>279274239.19646966</v>
      </c>
    </row>
    <row r="9" spans="1:2" x14ac:dyDescent="0.25">
      <c r="A9" t="s">
        <v>60</v>
      </c>
      <c r="B9" s="18">
        <f>B8*(1+Assumptions!B12)/(Assumptions!B26-Assumptions!B12)</f>
        <v>3136985024.3319483</v>
      </c>
    </row>
    <row r="10" spans="1:2" x14ac:dyDescent="0.25">
      <c r="A10" t="s">
        <v>61</v>
      </c>
      <c r="B10" s="18">
        <f>B9/(1+Assumptions!B26)^(5-0.5*Assumptions!B32)</f>
        <v>1912415940.7227385</v>
      </c>
    </row>
    <row r="11" spans="1:2" x14ac:dyDescent="0.25">
      <c r="A11" t="s">
        <v>62</v>
      </c>
      <c r="B11" s="18">
        <f>Forecast!B17+B10</f>
        <v>2694066816.0568533</v>
      </c>
    </row>
    <row r="12" spans="1:2" x14ac:dyDescent="0.25">
      <c r="A12" t="s">
        <v>63</v>
      </c>
      <c r="B12" s="18">
        <f>-Assumptions!B30</f>
        <v>78987000</v>
      </c>
    </row>
    <row r="13" spans="1:2" x14ac:dyDescent="0.25">
      <c r="A13" t="s">
        <v>64</v>
      </c>
      <c r="B13" s="18">
        <f>B11+B12</f>
        <v>2773053816.0568533</v>
      </c>
    </row>
    <row r="14" spans="1:2" x14ac:dyDescent="0.25">
      <c r="A14" s="19" t="s">
        <v>65</v>
      </c>
      <c r="B14" s="24">
        <f>B13/Assumptions!B31</f>
        <v>11.300289621482214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427115382.14817965</v>
      </c>
    </row>
    <row r="18" spans="1:2" x14ac:dyDescent="0.25">
      <c r="A18" t="s">
        <v>60</v>
      </c>
      <c r="B18" s="18">
        <f>B17*Assumptions!B13</f>
        <v>8542307642.963593</v>
      </c>
    </row>
    <row r="19" spans="1:2" x14ac:dyDescent="0.25">
      <c r="A19" t="s">
        <v>61</v>
      </c>
      <c r="B19" s="18">
        <f>B18/(1+Assumptions!B26)^(5-0.5*Assumptions!B32)</f>
        <v>5207689925.277939</v>
      </c>
    </row>
    <row r="20" spans="1:2" x14ac:dyDescent="0.25">
      <c r="A20" t="s">
        <v>62</v>
      </c>
      <c r="B20" s="18">
        <f>Forecast!B17+B19</f>
        <v>5989340800.612054</v>
      </c>
    </row>
    <row r="21" spans="1:2" x14ac:dyDescent="0.25">
      <c r="A21" t="s">
        <v>63</v>
      </c>
      <c r="B21" s="18">
        <f>-Assumptions!B30</f>
        <v>78987000</v>
      </c>
    </row>
    <row r="22" spans="1:2" x14ac:dyDescent="0.25">
      <c r="A22" t="s">
        <v>64</v>
      </c>
      <c r="B22" s="18">
        <f>B20+B21</f>
        <v>6068327800.612054</v>
      </c>
    </row>
    <row r="23" spans="1:2" x14ac:dyDescent="0.25">
      <c r="A23" s="19" t="s">
        <v>65</v>
      </c>
      <c r="B23" s="25">
        <f>B22/Assumptions!B31</f>
        <v>24.728644380409847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18.86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11.300289621482214</v>
      </c>
    </row>
    <row r="29" spans="1:2" x14ac:dyDescent="0.25">
      <c r="A29" s="19" t="s">
        <v>73</v>
      </c>
      <c r="B29" s="12">
        <f>B28/B26-1</f>
        <v>-0.40083299992140964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0.096252</v>
      </c>
      <c r="B5" s="31">
        <v>13.260417782082218</v>
      </c>
      <c r="C5" s="31">
        <v>13.836518591684069</v>
      </c>
      <c r="D5" s="31">
        <v>14.492388500147362</v>
      </c>
      <c r="E5" s="31">
        <v>15.246087890297098</v>
      </c>
      <c r="F5" s="31">
        <v>16.121574220261934</v>
      </c>
    </row>
    <row r="6" spans="1:6" x14ac:dyDescent="0.25">
      <c r="A6" s="30">
        <v>0.106252</v>
      </c>
      <c r="B6" s="31">
        <v>11.785996735478923</v>
      </c>
      <c r="C6" s="31">
        <v>12.216401131471617</v>
      </c>
      <c r="D6" s="31">
        <v>12.698863799743544</v>
      </c>
      <c r="E6" s="31">
        <v>13.243625443282014</v>
      </c>
      <c r="F6" s="31">
        <v>13.86380126768123</v>
      </c>
    </row>
    <row r="7" spans="1:6" x14ac:dyDescent="0.25">
      <c r="A7" s="30">
        <v>0.116252</v>
      </c>
      <c r="B7" s="31">
        <v>10.604955635356884</v>
      </c>
      <c r="C7" s="31">
        <v>10.934931385548277</v>
      </c>
      <c r="D7" s="32">
        <v>11.300287151542024</v>
      </c>
      <c r="E7" s="31">
        <v>11.707175836888608</v>
      </c>
      <c r="F7" s="31">
        <v>12.163264868731877</v>
      </c>
    </row>
    <row r="8" spans="1:6" x14ac:dyDescent="0.25">
      <c r="A8" s="30">
        <v>0.126252</v>
      </c>
      <c r="B8" s="31">
        <v>9.638105607383716</v>
      </c>
      <c r="C8" s="31">
        <v>9.896424437156492</v>
      </c>
      <c r="D8" s="31">
        <v>10.179579628938754</v>
      </c>
      <c r="E8" s="31">
        <v>10.491441704175703</v>
      </c>
      <c r="F8" s="31">
        <v>10.836729499186754</v>
      </c>
    </row>
    <row r="9" spans="1:6" x14ac:dyDescent="0.25">
      <c r="A9" s="30">
        <v>0.136252</v>
      </c>
      <c r="B9" s="31">
        <v>8.832384727280338</v>
      </c>
      <c r="C9" s="31">
        <v>9.038121343360167</v>
      </c>
      <c r="D9" s="31">
        <v>9.26175947043216</v>
      </c>
      <c r="E9" s="31">
        <v>9.50582633306511</v>
      </c>
      <c r="F9" s="31">
        <v>9.773348350820251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371654000</v>
      </c>
      <c r="C5" s="18">
        <v>312296000</v>
      </c>
      <c r="D5" s="18">
        <v>246748000</v>
      </c>
      <c r="E5" s="18">
        <v>206664000</v>
      </c>
      <c r="F5" s="8" t="s">
        <v>84</v>
      </c>
    </row>
    <row r="6" spans="1:6" x14ac:dyDescent="0.25">
      <c r="A6" t="s">
        <v>44</v>
      </c>
      <c r="B6" s="18">
        <v>77457000</v>
      </c>
      <c r="C6" s="18">
        <v>157107000</v>
      </c>
      <c r="D6" s="18">
        <v>121021000</v>
      </c>
      <c r="E6" s="18">
        <v>94132000</v>
      </c>
      <c r="F6" s="8" t="s">
        <v>85</v>
      </c>
    </row>
    <row r="7" spans="1:6" x14ac:dyDescent="0.25">
      <c r="A7" t="s">
        <v>86</v>
      </c>
      <c r="B7" s="18">
        <v>8155000</v>
      </c>
      <c r="C7" s="18">
        <v>5769000</v>
      </c>
      <c r="D7" s="18">
        <v>3656000</v>
      </c>
      <c r="E7" s="18">
        <v>3279000</v>
      </c>
      <c r="F7" s="8" t="s">
        <v>87</v>
      </c>
    </row>
    <row r="8" spans="1:6" x14ac:dyDescent="0.25">
      <c r="A8" t="s">
        <v>88</v>
      </c>
      <c r="B8" s="18">
        <v>13476000</v>
      </c>
      <c r="C8" s="18">
        <v>7903000</v>
      </c>
      <c r="D8" s="18">
        <v>4908000</v>
      </c>
      <c r="E8" s="18">
        <v>5641000</v>
      </c>
      <c r="F8" s="8" t="s">
        <v>89</v>
      </c>
    </row>
    <row r="9" spans="1:6" x14ac:dyDescent="0.25">
      <c r="A9" t="s">
        <v>90</v>
      </c>
      <c r="B9" s="18">
        <v>-6020000</v>
      </c>
      <c r="C9" s="18">
        <v>-10289000</v>
      </c>
      <c r="D9" s="18">
        <v>-2050000</v>
      </c>
      <c r="E9" s="18">
        <v>0</v>
      </c>
      <c r="F9" s="8" t="s">
        <v>85</v>
      </c>
    </row>
    <row r="10" spans="1:6" x14ac:dyDescent="0.25">
      <c r="A10" t="s">
        <v>91</v>
      </c>
      <c r="B10" s="18">
        <v>70409000</v>
      </c>
      <c r="C10" s="18">
        <v>13504000</v>
      </c>
      <c r="D10" s="18">
        <v>14915000</v>
      </c>
      <c r="E10" s="18">
        <v>13586000</v>
      </c>
      <c r="F10" s="8" t="s">
        <v>92</v>
      </c>
    </row>
    <row r="11" spans="1:6" x14ac:dyDescent="0.25">
      <c r="A11" t="s">
        <v>93</v>
      </c>
      <c r="B11" s="18">
        <v>149396000</v>
      </c>
      <c r="C11" s="18">
        <v>148518000</v>
      </c>
      <c r="D11" s="18">
        <v>126676000</v>
      </c>
      <c r="E11" s="18">
        <v>109973000</v>
      </c>
      <c r="F11" s="8" t="s">
        <v>94</v>
      </c>
    </row>
    <row r="12" spans="1:6" x14ac:dyDescent="0.25">
      <c r="A12" t="s">
        <v>32</v>
      </c>
      <c r="B12" s="34">
        <v>245396703</v>
      </c>
      <c r="C12" s="34">
        <v>245305263</v>
      </c>
      <c r="D12" s="34">
        <v>244486804</v>
      </c>
      <c r="E12" s="34">
        <v>243867831</v>
      </c>
      <c r="F12" s="8" t="s">
        <v>95</v>
      </c>
    </row>
    <row r="15" spans="1:1" x14ac:dyDescent="0.25">
      <c r="A15" s="19" t="s">
        <v>96</v>
      </c>
    </row>
    <row r="16" ht="22" customHeight="1" spans="1:6" x14ac:dyDescent="0.25">
      <c r="A16" s="35" t="s">
        <v>97</v>
      </c>
      <c r="B16" s="35"/>
      <c r="C16" s="35"/>
      <c r="D16" s="35"/>
      <c r="E16" s="35"/>
      <c r="F16" s="35"/>
    </row>
    <row r="17" ht="54" customHeight="1" spans="1:6" x14ac:dyDescent="0.25">
      <c r="A17" s="35" t="s">
        <v>98</v>
      </c>
      <c r="B17" s="35"/>
      <c r="C17" s="35"/>
      <c r="D17" s="35"/>
      <c r="E17" s="35"/>
      <c r="F17" s="35"/>
    </row>
    <row r="18" ht="38" customHeight="1" spans="1:6" x14ac:dyDescent="0.25">
      <c r="A18" s="35" t="s">
        <v>99</v>
      </c>
      <c r="B18" s="35"/>
      <c r="C18" s="35"/>
      <c r="D18" s="35"/>
      <c r="E18" s="35"/>
      <c r="F18" s="35"/>
    </row>
    <row r="20" spans="1:1" x14ac:dyDescent="0.25">
      <c r="A20" s="36" t="s">
        <v>100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2026-09-19T01:04:55Z</dcterms:modified>
</cp:coreProperties>
</file>