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<sst xmlns="http://schemas.openxmlformats.org/spreadsheetml/2006/main" count="119" uniqueCount="106">
  <si>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News Corporation (NWS)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</si>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</sst>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0.04275405516171915</v>
      </c>
    </row>
    <row r="7" spans="1:2" x14ac:dyDescent="0.25">
      <c r="A7" t="s">
        <v>4</v>
      </c>
      <c r="B7" s="5">
        <v>0.10519896573198449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0.05328653468404735</v>
      </c>
    </row>
    <row r="10" spans="1:3" x14ac:dyDescent="0.25">
      <c r="A10" t="s">
        <v>7</v>
      </c>
      <c r="B10" s="5">
        <v>0.045478272051926644</v>
      </c>
      <c r="C10" s="6" t="s">
        <v>8</v>
      </c>
    </row>
    <row r="11" spans="1:2" x14ac:dyDescent="0.25">
      <c r="A11" t="s">
        <v>9</v>
      </c>
      <c r="B11" s="5">
        <v>0.17798306061757346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11.003058271665642</v>
      </c>
    </row>
    <row r="14" spans="1:3" x14ac:dyDescent="0.25">
      <c r="A14" t="s">
        <v>12</v>
      </c>
      <c r="B14" s="5">
        <v>0.08529785110839352</v>
      </c>
      <c r="C14" s="6" t="s">
        <v>13</v>
      </c>
    </row>
    <row r="15" spans="1:3" x14ac:dyDescent="0.25">
      <c r="A15" t="s">
        <v>14</v>
      </c>
      <c r="B15" s="5">
        <v>0.06977854231740126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0.98392</v>
      </c>
      <c r="C19" s="6" t="s">
        <v>21</v>
      </c>
    </row>
    <row r="20" spans="1:2" x14ac:dyDescent="0.25">
      <c r="A20" t="s">
        <v>22</v>
      </c>
      <c r="B20" s="9">
        <f>B17+B19*B18</f>
        <v>0.090559816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17081975808</v>
      </c>
    </row>
    <row r="23" spans="1:2" x14ac:dyDescent="0.25">
      <c r="A23" t="s">
        <v>26</v>
      </c>
      <c r="B23" s="10">
        <v>2915000000</v>
      </c>
    </row>
    <row r="24" spans="1:2" x14ac:dyDescent="0.25">
      <c r="A24" t="s">
        <v>27</v>
      </c>
      <c r="B24" s="9">
        <f>B22/(B22+B23)</f>
        <v>0.854227957867818</v>
      </c>
    </row>
    <row r="25" spans="1:2" x14ac:dyDescent="0.25">
      <c r="A25" t="s">
        <v>28</v>
      </c>
      <c r="B25" s="9">
        <f>1-B24</f>
        <v>0.14577204213218198</v>
      </c>
    </row>
    <row r="26" spans="1:2" x14ac:dyDescent="0.25">
      <c r="A26" t="s">
        <v>29</v>
      </c>
      <c r="B26" s="11">
        <f>B24*B20+B25*B21*(1-B8)</f>
        <v>0.08529785110839352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9028000000</v>
      </c>
      <c r="C29" s="6" t="s">
        <v>32</v>
      </c>
    </row>
    <row r="30" spans="1:2" x14ac:dyDescent="0.25">
      <c r="A30" t="s">
        <v>33</v>
      </c>
      <c r="B30" s="10">
        <v>820000000</v>
      </c>
    </row>
    <row r="31" spans="1:2" x14ac:dyDescent="0.25">
      <c r="A31" t="s">
        <v>34</v>
      </c>
      <c r="B31" s="12">
        <v>558400000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0.04275405516171915</v>
      </c>
      <c r="C5" s="5">
        <v>0.03423745603908057</v>
      </c>
      <c r="D5" s="5">
        <v>0.0330827740341955</v>
      </c>
      <c r="E5" s="5">
        <v>0.03192809202931043</v>
      </c>
      <c r="F5" s="5">
        <v>0.03077341002442536</v>
      </c>
      <c r="G5" s="5">
        <v>0.029618728019540286</v>
      </c>
      <c r="H5" s="5">
        <v>0.028464046014655214</v>
      </c>
      <c r="I5" s="5">
        <v>0.027309364009770146</v>
      </c>
      <c r="J5" s="5">
        <v>0.026154682004885074</v>
      </c>
      <c r="K5" s="5">
        <v>0.025</v>
      </c>
    </row>
    <row r="6" spans="1:11" x14ac:dyDescent="0.25">
      <c r="A6" t="s">
        <v>50</v>
      </c>
      <c r="B6" s="18">
        <f>Assumptions!B29*(1+B5)</f>
        <v>9413983610</v>
      </c>
      <c r="C6" s="18">
        <f>B6*(1+C5)</f>
        <v>9736294460</v>
      </c>
      <c r="D6" s="18">
        <f>C6*(1+D5)</f>
        <v>10058398089.55057</v>
      </c>
      <c r="E6" s="18">
        <f>D6*(1+E5)</f>
        <v>10379543549.421179</v>
      </c>
      <c r="F6" s="18">
        <f>E6*(1+F5)</f>
        <v>10698957498.933897</v>
      </c>
      <c r="G6" s="18">
        <f>F6*(1+G5)</f>
        <v>11015847011.18744</v>
      </c>
      <c r="H6" s="18">
        <f>G6*(1+H5)</f>
        <v>11329402587.404284</v>
      </c>
      <c r="I6" s="18">
        <f>H6*(1+I5)</f>
        <v>11638801366.676939</v>
      </c>
      <c r="J6" s="18">
        <f>I6*(1+J5)</f>
        <v>11943210515.340395</v>
      </c>
      <c r="K6" s="18">
        <f>J6*(1+K5)</f>
        <v>12241790778.223904</v>
      </c>
    </row>
    <row r="7" spans="1:11" x14ac:dyDescent="0.25">
      <c r="A7" t="s">
        <v>4</v>
      </c>
      <c r="B7" s="9">
        <f>Assumptions!B7</f>
        <v>0.10519896573198449</v>
      </c>
      <c r="C7" s="9">
        <f>Assumptions!B7</f>
        <v>0.10519896573198449</v>
      </c>
      <c r="D7" s="9">
        <f>Assumptions!B7</f>
        <v>0.10519896573198449</v>
      </c>
      <c r="E7" s="9">
        <f>Assumptions!B7</f>
        <v>0.10519896573198449</v>
      </c>
      <c r="F7" s="9">
        <f>Assumptions!B7</f>
        <v>0.10519896573198449</v>
      </c>
      <c r="G7" s="9">
        <f>Assumptions!B7</f>
        <v>0.10519896573198449</v>
      </c>
      <c r="H7" s="9">
        <f>Assumptions!B7</f>
        <v>0.10519896573198449</v>
      </c>
      <c r="I7" s="9">
        <f>Assumptions!B7</f>
        <v>0.10519896573198449</v>
      </c>
      <c r="J7" s="9">
        <f>Assumptions!B7</f>
        <v>0.10519896573198449</v>
      </c>
      <c r="K7" s="9">
        <f>Assumptions!B7</f>
        <v>0.10519896573198449</v>
      </c>
    </row>
    <row r="8" spans="1:11" x14ac:dyDescent="0.25">
      <c r="A8" t="s">
        <v>51</v>
      </c>
      <c r="B8" s="18">
        <f>B6*B7</f>
        <v>990341339.1898537</v>
      </c>
      <c r="C8" s="18">
        <f>C6*C7</f>
        <v>1024248107.2540505</v>
      </c>
      <c r="D8" s="18">
        <f>D6*D7</f>
        <v>1058133075.9412886</v>
      </c>
      <c r="E8" s="18">
        <f>E6*E7</f>
        <v>1091917246.1691992</v>
      </c>
      <c r="F8" s="18">
        <f>F6*F7</f>
        <v>1125519263.2983055</v>
      </c>
      <c r="G8" s="18">
        <f>G6*G7</f>
        <v>1158855712.2386913</v>
      </c>
      <c r="H8" s="18">
        <f>H6*H7</f>
        <v>1191841434.5561996</v>
      </c>
      <c r="I8" s="18">
        <f>I6*I7</f>
        <v>1224389866.1344216</v>
      </c>
      <c r="J8" s="18">
        <f>J6*J7</f>
        <v>1256413393.733171</v>
      </c>
      <c r="K8" s="18">
        <f>K6*K7</f>
        <v>1287823728.5765002</v>
      </c>
    </row>
    <row r="9" spans="1:11" x14ac:dyDescent="0.25">
      <c r="A9" t="s">
        <v>52</v>
      </c>
      <c r="B9" s="18">
        <f>B8*(1-Assumptions!B8)</f>
        <v>782369657.9599844</v>
      </c>
      <c r="C9" s="18">
        <f>C8*(1-Assumptions!B8)</f>
        <v>809156004.7306999</v>
      </c>
      <c r="D9" s="18">
        <f>D8*(1-Assumptions!B8)</f>
        <v>835925129.993618</v>
      </c>
      <c r="E9" s="18">
        <f>E8*(1-Assumptions!B8)</f>
        <v>862614624.4736674</v>
      </c>
      <c r="F9" s="18">
        <f>F8*(1-Assumptions!B8)</f>
        <v>889160218.0056614</v>
      </c>
      <c r="G9" s="18">
        <f>G8*(1-Assumptions!B8)</f>
        <v>915496012.6685662</v>
      </c>
      <c r="H9" s="18">
        <f>H8*(1-Assumptions!B8)</f>
        <v>941554733.2993977</v>
      </c>
      <c r="I9" s="18">
        <f>I8*(1-Assumptions!B8)</f>
        <v>967267994.246193</v>
      </c>
      <c r="J9" s="18">
        <f>J8*(1-Assumptions!B8)</f>
        <v>992566581.0492051</v>
      </c>
      <c r="K9" s="18">
        <f>K8*(1-Assumptions!B8)</f>
        <v>1017380745.5754352</v>
      </c>
    </row>
    <row r="10" spans="1:11" x14ac:dyDescent="0.25">
      <c r="A10" t="s">
        <v>53</v>
      </c>
      <c r="B10" s="18">
        <f>B6*Assumptions!B9</f>
        <v>501638564.1493183</v>
      </c>
      <c r="C10" s="18">
        <f>C6*Assumptions!B9</f>
        <v>518813392.43688804</v>
      </c>
      <c r="D10" s="18">
        <f>D6*Assumptions!B9</f>
        <v>535977178.664792</v>
      </c>
      <c r="E10" s="18">
        <f>E6*Assumptions!B9</f>
        <v>553089907.3508116</v>
      </c>
      <c r="F10" s="18">
        <f>F6*Assumptions!B9</f>
        <v>570110369.8500896</v>
      </c>
      <c r="G10" s="18">
        <f>G6*Assumptions!B9</f>
        <v>586996313.8357989</v>
      </c>
      <c r="H10" s="18">
        <f>H6*Assumptions!B9</f>
        <v>603704603.9232541</v>
      </c>
      <c r="I10" s="18">
        <f>I6*Assumptions!B9</f>
        <v>620191392.7061684</v>
      </c>
      <c r="J10" s="18">
        <f>J6*Assumptions!B9</f>
        <v>636412301.364565</v>
      </c>
      <c r="K10" s="18">
        <f>K6*Assumptions!B9</f>
        <v>652322608.898679</v>
      </c>
    </row>
    <row r="11" spans="1:11" x14ac:dyDescent="0.25">
      <c r="A11" t="s">
        <v>54</v>
      </c>
      <c r="B11" s="18">
        <f>-B6*B19</f>
        <v>-428131707.7079585</v>
      </c>
      <c r="C11" s="18">
        <f>-C6*C19</f>
        <v>-477587579.19446176</v>
      </c>
      <c r="D11" s="18">
        <f>-D6*D19</f>
        <v>-529336437.59382117</v>
      </c>
      <c r="E11" s="18">
        <f>-E6*E19</f>
        <v>-583333857.4739776</v>
      </c>
      <c r="F11" s="18">
        <f>-F6*F19</f>
        <v>-639523339.3320333</v>
      </c>
      <c r="G11" s="18">
        <f>-G6*G19</f>
        <v>-697836087.1630249</v>
      </c>
      <c r="H11" s="18">
        <f>-H6*H19</f>
        <v>-758190860.1793095</v>
      </c>
      <c r="I11" s="18">
        <f>-I6*I19</f>
        <v>-820493902.9449533</v>
      </c>
      <c r="J11" s="18">
        <f>-J6*J19</f>
        <v>-884638957.6453316</v>
      </c>
      <c r="K11" s="18">
        <f>-K6*K19</f>
        <v>-950507361.6079189</v>
      </c>
    </row>
    <row r="12" spans="1:11" x14ac:dyDescent="0.25">
      <c r="A12" t="s">
        <v>55</v>
      </c>
      <c r="B12" s="18">
        <f>-(B6-Assumptions!B29)*Assumptions!B11</f>
        <v>-68698544.25601983</v>
      </c>
      <c r="C12" s="18">
        <f>-(C6-B6)*Assumptions!B11</f>
        <v>-57365871.553251624</v>
      </c>
      <c r="D12" s="18">
        <f>-(D6-C6)*Assumptions!B11</f>
        <v>-57328989.82343944</v>
      </c>
      <c r="E12" s="18">
        <f>-(E6-D6)*Assumptions!B11</f>
        <v>-57158451.851209156</v>
      </c>
      <c r="F12" s="18">
        <f>-(F6-E6)*Assumptions!B11</f>
        <v>-56850272.33822067</v>
      </c>
      <c r="G12" s="18">
        <f>-(G6-F6)*Assumptions!B11</f>
        <v>-56400965.26849578</v>
      </c>
      <c r="H12" s="18">
        <f>-(H6-G6)*Assumptions!B11</f>
        <v>-55807581.128780484</v>
      </c>
      <c r="I12" s="18">
        <f>-(I6-H6)*Assumptions!B11</f>
        <v>-55067741.686288275</v>
      </c>
      <c r="J12" s="18">
        <f>-(J6-I6)*Assumptions!B11</f>
        <v>-54179671.95911182</v>
      </c>
      <c r="K12" s="18">
        <f>-(K6-J6)*Assumptions!B11</f>
        <v>-53142229.028006546</v>
      </c>
    </row>
    <row r="13" spans="1:11" x14ac:dyDescent="0.25">
      <c r="A13" s="19" t="s">
        <v>56</v>
      </c>
      <c r="B13" s="20">
        <f>B9+B10+B11+B12</f>
        <v>787177970.1453245</v>
      </c>
      <c r="C13" s="20">
        <f>C9+C10+C11+C12</f>
        <v>793015946.4198745</v>
      </c>
      <c r="D13" s="20">
        <f>D9+D10+D11+D12</f>
        <v>785236881.2411494</v>
      </c>
      <c r="E13" s="20">
        <f>E9+E10+E11+E12</f>
        <v>775212222.4992924</v>
      </c>
      <c r="F13" s="20">
        <f>F9+F10+F11+F12</f>
        <v>762896976.185497</v>
      </c>
      <c r="G13" s="20">
        <f>G9+G10+G11+G12</f>
        <v>748255274.0728443</v>
      </c>
      <c r="H13" s="20">
        <f>H9+H10+H11+H12</f>
        <v>731260895.914562</v>
      </c>
      <c r="I13" s="20">
        <f>I9+I10+I11+I12</f>
        <v>711897742.32112</v>
      </c>
      <c r="J13" s="20">
        <f>J9+J10+J11+J12</f>
        <v>690160252.8093268</v>
      </c>
      <c r="K13" s="20">
        <f>K9+K10+K11+K12</f>
        <v>666053763.8381888</v>
      </c>
    </row>
    <row r="14" spans="1:11" x14ac:dyDescent="0.25">
      <c r="A14" t="s">
        <v>57</v>
      </c>
      <c r="B14" s="21">
        <f>1/(1+Assumptions!$B$26)^(1-0.5*Assumptions!$B$32)</f>
        <v>0.9598989761497111</v>
      </c>
      <c r="C14" s="21">
        <f>1/(1+Assumptions!$B$26)^(2-0.5*Assumptions!$B$32)</f>
        <v>0.884456718650447</v>
      </c>
      <c r="D14" s="21">
        <f>1/(1+Assumptions!$B$26)^(3-0.5*Assumptions!$B$32)</f>
        <v>0.8149437665864432</v>
      </c>
      <c r="E14" s="21">
        <f>1/(1+Assumptions!$B$26)^(4-0.5*Assumptions!$B$32)</f>
        <v>0.7508941123896606</v>
      </c>
      <c r="F14" s="21">
        <f>1/(1+Assumptions!$B$26)^(5-0.5*Assumptions!$B$32)</f>
        <v>0.6918783738701658</v>
      </c>
      <c r="G14" s="21">
        <f>1/(1+Assumptions!$B$26)^(6-0.5*Assumptions!$B$32)</f>
        <v>0.6375009156827905</v>
      </c>
      <c r="H14" s="21">
        <f>1/(1+Assumptions!$B$26)^(7-0.5*Assumptions!$B$32)</f>
        <v>0.5873971970291135</v>
      </c>
      <c r="I14" s="21">
        <f>1/(1+Assumptions!$B$26)^(8-0.5*Assumptions!$B$32)</f>
        <v>0.5412313278140339</v>
      </c>
      <c r="J14" s="21">
        <f>1/(1+Assumptions!$B$26)^(9-0.5*Assumptions!$B$32)</f>
        <v>0.49869381687366743</v>
      </c>
      <c r="K14" s="21">
        <f>1/(1+Assumptions!$B$26)^(10-0.5*Assumptions!$B$32)</f>
        <v>0.45949949717891847</v>
      </c>
    </row>
    <row r="15" spans="1:11" x14ac:dyDescent="0.25">
      <c r="A15" s="19" t="s">
        <v>58</v>
      </c>
      <c r="B15" s="20">
        <f>B13*B14</f>
        <v>755611327.5901048</v>
      </c>
      <c r="C15" s="20">
        <f>C13*C14</f>
        <v>701388281.8080009</v>
      </c>
      <c r="D15" s="20">
        <f>D13*D14</f>
        <v>639923901.6612539</v>
      </c>
      <c r="E15" s="20">
        <f>E13*E14</f>
        <v>582102293.7272222</v>
      </c>
      <c r="F15" s="20">
        <f>F13*F14</f>
        <v>527831919.31368834</v>
      </c>
      <c r="G15" s="20">
        <f>G13*G14</f>
        <v>477013422.38591564</v>
      </c>
      <c r="H15" s="20">
        <f>H13*H14</f>
        <v>429540600.55721205</v>
      </c>
      <c r="I15" s="20">
        <f>I13*I14</f>
        <v>385301360.3442728</v>
      </c>
      <c r="J15" s="20">
        <f>J13*J14</f>
        <v>344178650.7279784</v>
      </c>
      <c r="K15" s="20">
        <f>K13*K14</f>
        <v>306051369.57777387</v>
      </c>
    </row>
    <row r="17" spans="1:2" x14ac:dyDescent="0.25">
      <c r="A17" s="22" t="s">
        <v>59</v>
      </c>
      <c r="B17" s="23">
        <f>SUM(B15:K15)</f>
        <v>5148943127.693423</v>
      </c>
    </row>
    <row r="19" spans="1:11" x14ac:dyDescent="0.25">
      <c r="A19" t="s">
        <v>7</v>
      </c>
      <c r="B19" s="9">
        <f>Assumptions!$B$10+($B$20-Assumptions!$B$10)*0/9</f>
        <v>0.045478272051926644</v>
      </c>
      <c r="C19" s="9">
        <f>Assumptions!$B$10+($B$20-Assumptions!$B$10)*1/9</f>
        <v>0.049052294089558766</v>
      </c>
      <c r="D19" s="9">
        <f>Assumptions!$B$10+($B$20-Assumptions!$B$10)*2/9</f>
        <v>0.05262631612719089</v>
      </c>
      <c r="E19" s="9">
        <f>Assumptions!$B$10+($B$20-Assumptions!$B$10)*3/9</f>
        <v>0.05620033816482301</v>
      </c>
      <c r="F19" s="9">
        <f>Assumptions!$B$10+($B$20-Assumptions!$B$10)*4/9</f>
        <v>0.059774360202455135</v>
      </c>
      <c r="G19" s="9">
        <f>Assumptions!$B$10+($B$20-Assumptions!$B$10)*5/9</f>
        <v>0.06334838224008726</v>
      </c>
      <c r="H19" s="9">
        <f>Assumptions!$B$10+($B$20-Assumptions!$B$10)*6/9</f>
        <v>0.06692240427771938</v>
      </c>
      <c r="I19" s="9">
        <f>Assumptions!$B$10+($B$20-Assumptions!$B$10)*7/9</f>
        <v>0.07049642631535151</v>
      </c>
      <c r="J19" s="9">
        <f>Assumptions!$B$10+($B$20-Assumptions!$B$10)*8/9</f>
        <v>0.07407044835298363</v>
      </c>
      <c r="K19" s="9">
        <f>Assumptions!$B$10+($B$20-Assumptions!$B$10)*9/9</f>
        <v>0.07764447039061576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0.07764447039061576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666053763.8381888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1017380745.5754352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0.2930906192259272</v>
      </c>
    </row>
    <row r="7" spans="1:2" x14ac:dyDescent="0.25">
      <c r="A7" t="s">
        <v>66</v>
      </c>
      <c r="B7" s="18">
        <f>-MAX(B5,0)*B6</f>
        <v>-298184752.7092398</v>
      </c>
    </row>
    <row r="8" spans="1:2" x14ac:dyDescent="0.25">
      <c r="A8" t="s">
        <v>67</v>
      </c>
      <c r="B8" s="18">
        <f>IF(OR(Assumptions!$B$33=0,Assumptions!B12&lt;=0),B5,MAX(B5+B7,0))</f>
        <v>719195992.8661954</v>
      </c>
    </row>
    <row r="9" spans="1:2" x14ac:dyDescent="0.25">
      <c r="A9" t="s">
        <v>68</v>
      </c>
      <c r="B9" s="18">
        <f>B8*(1+Assumptions!B12)/(Assumptions!B26-Assumptions!B12)</f>
        <v>12225574861.078833</v>
      </c>
    </row>
    <row r="10" spans="1:2" x14ac:dyDescent="0.25">
      <c r="A10" t="s">
        <v>69</v>
      </c>
      <c r="B10" s="18">
        <f>B9/(1+Assumptions!B26)^(10-0.5*Assumptions!B32)</f>
        <v>5617645501.388949</v>
      </c>
    </row>
    <row r="11" spans="1:2" x14ac:dyDescent="0.25">
      <c r="A11" t="s">
        <v>70</v>
      </c>
      <c r="B11" s="18">
        <f>Forecast!B17+B10</f>
        <v>10766588629.082373</v>
      </c>
    </row>
    <row r="12" spans="1:2" x14ac:dyDescent="0.25">
      <c r="A12" t="s">
        <v>71</v>
      </c>
      <c r="B12" s="18">
        <f>-Assumptions!B30</f>
        <v>-820000000</v>
      </c>
    </row>
    <row r="13" spans="1:2" x14ac:dyDescent="0.25">
      <c r="A13" t="s">
        <v>72</v>
      </c>
      <c r="B13" s="18">
        <f>B11+B12</f>
        <v>9946588629.082373</v>
      </c>
    </row>
    <row r="14" spans="1:2" x14ac:dyDescent="0.25">
      <c r="A14" s="19" t="s">
        <v>73</v>
      </c>
      <c r="B14" s="24">
        <f>B13/Assumptions!B31</f>
        <v>17.81265871970339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1940146337.4751792</v>
      </c>
    </row>
    <row r="18" spans="1:2" x14ac:dyDescent="0.25">
      <c r="A18" t="s">
        <v>68</v>
      </c>
      <c r="B18" s="18">
        <f>B17*Assumptions!B13</f>
        <v>21347543206.798073</v>
      </c>
    </row>
    <row r="19" spans="1:2" x14ac:dyDescent="0.25">
      <c r="A19" t="s">
        <v>69</v>
      </c>
      <c r="B19" s="18">
        <f>B18/(1+Assumptions!B26)^(10-0.5*Assumptions!B32)</f>
        <v>9809185369.528952</v>
      </c>
    </row>
    <row r="20" spans="1:2" x14ac:dyDescent="0.25">
      <c r="A20" t="s">
        <v>70</v>
      </c>
      <c r="B20" s="18">
        <f>Forecast!B17+B19</f>
        <v>14958128497.222374</v>
      </c>
    </row>
    <row r="21" spans="1:2" x14ac:dyDescent="0.25">
      <c r="A21" t="s">
        <v>71</v>
      </c>
      <c r="B21" s="18">
        <f>-Assumptions!B30</f>
        <v>-820000000</v>
      </c>
    </row>
    <row r="22" spans="1:2" x14ac:dyDescent="0.25">
      <c r="A22" t="s">
        <v>72</v>
      </c>
      <c r="B22" s="18">
        <f>B20+B21</f>
        <v>14138128497.222374</v>
      </c>
    </row>
    <row r="23" spans="1:2" x14ac:dyDescent="0.25">
      <c r="A23" s="19" t="s">
        <v>73</v>
      </c>
      <c r="B23" s="25">
        <f>B22/Assumptions!B31</f>
        <v>25.3189980251117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31.74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17.81265871970339</v>
      </c>
    </row>
    <row r="29" spans="1:2" x14ac:dyDescent="0.25">
      <c r="A29" s="19" t="s">
        <v>81</v>
      </c>
      <c r="B29" s="11">
        <f>B28/B26-1</f>
        <v>-0.43879462130739166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0.065298</v>
      </c>
      <c r="B5" s="31">
        <v>24.46584304441715</v>
      </c>
      <c r="C5" s="31">
        <v>24.152912679285382</v>
      </c>
      <c r="D5" s="31">
        <v>23.84723576495314</v>
      </c>
      <c r="E5" s="31">
        <v>23.551894678948717</v>
      </c>
      <c r="F5" s="31">
        <v>23.27200650573038</v>
      </c>
    </row>
    <row r="6" spans="1:6" x14ac:dyDescent="0.25">
      <c r="A6" s="30">
        <v>0.075298</v>
      </c>
      <c r="B6" s="31">
        <v>20.93026012120924</v>
      </c>
      <c r="C6" s="31">
        <v>20.646188901892344</v>
      </c>
      <c r="D6" s="31">
        <v>20.362117682575448</v>
      </c>
      <c r="E6" s="31">
        <v>20.078046463258556</v>
      </c>
      <c r="F6" s="31">
        <v>19.793975243941667</v>
      </c>
    </row>
    <row r="7" spans="1:6" x14ac:dyDescent="0.25">
      <c r="A7" s="30">
        <v>0.085298</v>
      </c>
      <c r="B7" s="31">
        <v>18.287184937301095</v>
      </c>
      <c r="C7" s="31">
        <v>18.04990509103782</v>
      </c>
      <c r="D7" s="32">
        <v>17.812625244774544</v>
      </c>
      <c r="E7" s="31">
        <v>17.57534539851127</v>
      </c>
      <c r="F7" s="31">
        <v>17.338065552247997</v>
      </c>
    </row>
    <row r="8" spans="1:6" x14ac:dyDescent="0.25">
      <c r="A8" s="30">
        <v>0.095298</v>
      </c>
      <c r="B8" s="31">
        <v>16.204480861516068</v>
      </c>
      <c r="C8" s="31">
        <v>16.00335144992115</v>
      </c>
      <c r="D8" s="31">
        <v>15.802222038326233</v>
      </c>
      <c r="E8" s="31">
        <v>15.60109262673132</v>
      </c>
      <c r="F8" s="31">
        <v>15.399963215136399</v>
      </c>
    </row>
    <row r="9" spans="1:6" x14ac:dyDescent="0.25">
      <c r="A9" s="30">
        <v>0.105298</v>
      </c>
      <c r="B9" s="31">
        <v>14.522025452502307</v>
      </c>
      <c r="C9" s="31">
        <v>14.349496223008906</v>
      </c>
      <c r="D9" s="31">
        <v>14.176966993515508</v>
      </c>
      <c r="E9" s="31">
        <v>14.00443776402211</v>
      </c>
      <c r="F9" s="31">
        <v>13.83190853452871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9028000000</v>
      </c>
      <c r="C5" s="18">
        <v>8452000000</v>
      </c>
      <c r="D5" s="18">
        <v>8252000000</v>
      </c>
      <c r="E5" s="18">
        <v>8012000000</v>
      </c>
      <c r="F5" s="6" t="s">
        <v>91</v>
      </c>
    </row>
    <row r="6" spans="1:6" x14ac:dyDescent="0.25">
      <c r="A6" t="s">
        <v>51</v>
      </c>
      <c r="B6" s="18">
        <v>1142000000</v>
      </c>
      <c r="C6" s="18">
        <v>956000000</v>
      </c>
      <c r="D6" s="18">
        <v>801000000</v>
      </c>
      <c r="E6" s="18">
        <v>674000000</v>
      </c>
      <c r="F6" s="6" t="s">
        <v>92</v>
      </c>
    </row>
    <row r="7" spans="1:6" x14ac:dyDescent="0.25">
      <c r="A7" t="s">
        <v>93</v>
      </c>
      <c r="B7" s="18">
        <v>485000000</v>
      </c>
      <c r="C7" s="18">
        <v>459000000</v>
      </c>
      <c r="D7" s="18">
        <v>440000000</v>
      </c>
      <c r="E7" s="18">
        <v>415000000</v>
      </c>
      <c r="F7" s="6" t="s">
        <v>94</v>
      </c>
    </row>
    <row r="8" spans="1:6" x14ac:dyDescent="0.25">
      <c r="A8" t="s">
        <v>95</v>
      </c>
      <c r="B8" s="18">
        <v>426000000</v>
      </c>
      <c r="C8" s="18">
        <v>407000000</v>
      </c>
      <c r="D8" s="18">
        <v>357000000</v>
      </c>
      <c r="E8" s="18">
        <v>347000000</v>
      </c>
      <c r="F8" s="6" t="s">
        <v>96</v>
      </c>
    </row>
    <row r="9" spans="1:6" x14ac:dyDescent="0.25">
      <c r="A9" t="s">
        <v>97</v>
      </c>
      <c r="B9" s="18">
        <v>145000000</v>
      </c>
      <c r="C9" s="18">
        <v>206000000</v>
      </c>
      <c r="D9" s="18">
        <v>139000000</v>
      </c>
      <c r="E9" s="18">
        <v>96000000</v>
      </c>
      <c r="F9" s="6" t="s">
        <v>98</v>
      </c>
    </row>
    <row r="10" spans="1:6" x14ac:dyDescent="0.25">
      <c r="A10" t="s">
        <v>99</v>
      </c>
      <c r="B10" s="18">
        <v>2915000000</v>
      </c>
      <c r="C10" s="18">
        <v>2940000000</v>
      </c>
      <c r="D10" s="18">
        <v>3103000000</v>
      </c>
      <c r="E10" s="18">
        <v>4207000000</v>
      </c>
      <c r="F10" s="6" t="s">
        <v>100</v>
      </c>
    </row>
    <row r="11" spans="1:6" x14ac:dyDescent="0.25">
      <c r="A11" t="s">
        <v>101</v>
      </c>
      <c r="B11" s="18">
        <v>2095000000</v>
      </c>
      <c r="C11" s="18">
        <v>2403000000</v>
      </c>
      <c r="D11" s="18">
        <v>1872000000</v>
      </c>
      <c r="E11" s="18">
        <v>1833000000</v>
      </c>
      <c r="F11" s="6" t="s">
        <v>102</v>
      </c>
    </row>
    <row r="12" spans="1:6" x14ac:dyDescent="0.25">
      <c r="A12" t="s">
        <v>34</v>
      </c>
      <c r="B12" s="34">
        <v>558400000</v>
      </c>
      <c r="C12" s="34">
        <v>569900000</v>
      </c>
      <c r="D12" s="34">
        <v>574000000</v>
      </c>
      <c r="E12" s="34">
        <v>579000000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