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<sst xmlns="http://schemas.openxmlformats.org/spreadsheetml/2006/main" count="111" uniqueCount="99">
  <si>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News Corporation (NWS)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</si>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</sst>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0.0405993172034298</v>
      </c>
    </row>
    <row r="7" spans="1:2" x14ac:dyDescent="0.25">
      <c r="A7" t="s">
        <v>5</v>
      </c>
      <c r="B7" s="6">
        <v>0.10519896573198449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0.05328653468404735</v>
      </c>
    </row>
    <row r="10" spans="1:2" x14ac:dyDescent="0.25">
      <c r="A10" t="s">
        <v>8</v>
      </c>
      <c r="B10" s="6">
        <v>0.045478272051926644</v>
      </c>
    </row>
    <row r="11" spans="1:2" x14ac:dyDescent="0.25">
      <c r="A11" t="s">
        <v>9</v>
      </c>
      <c r="B11" s="6">
        <v>0.5791666666666667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11.272825942224953</v>
      </c>
    </row>
    <row r="14" spans="1:3" x14ac:dyDescent="0.25">
      <c r="A14" t="s">
        <v>12</v>
      </c>
      <c r="B14" s="6">
        <v>0.0954586177170811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0.94841</v>
      </c>
      <c r="C19" s="8" t="s">
        <v>19</v>
      </c>
    </row>
    <row r="20" spans="1:2" x14ac:dyDescent="0.25">
      <c r="A20" t="s">
        <v>20</v>
      </c>
      <c r="B20" s="10">
        <f>B17+B19*B18</f>
        <v>0.10214255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17520887808</v>
      </c>
    </row>
    <row r="23" spans="1:2" x14ac:dyDescent="0.25">
      <c r="A23" t="s">
        <v>24</v>
      </c>
      <c r="B23" s="11">
        <v>2915000000</v>
      </c>
    </row>
    <row r="24" spans="1:2" x14ac:dyDescent="0.25">
      <c r="A24" t="s">
        <v>25</v>
      </c>
      <c r="B24" s="10">
        <f>B22/(B22+B23)</f>
        <v>0.8573587784691756</v>
      </c>
    </row>
    <row r="25" spans="1:2" x14ac:dyDescent="0.25">
      <c r="A25" t="s">
        <v>26</v>
      </c>
      <c r="B25" s="10">
        <f>1-B24</f>
        <v>0.14264122153082437</v>
      </c>
    </row>
    <row r="26" spans="1:2" x14ac:dyDescent="0.25">
      <c r="A26" t="s">
        <v>27</v>
      </c>
      <c r="B26" s="12">
        <f>B24*B20+B25*B21*(1-B8)</f>
        <v>0.0954586177170811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9028000000</v>
      </c>
      <c r="C29" s="8" t="s">
        <v>30</v>
      </c>
    </row>
    <row r="30" spans="1:2" x14ac:dyDescent="0.25">
      <c r="A30" t="s">
        <v>31</v>
      </c>
      <c r="B30" s="11">
        <v>820000000</v>
      </c>
    </row>
    <row r="31" spans="1:2" x14ac:dyDescent="0.25">
      <c r="A31" t="s">
        <v>32</v>
      </c>
      <c r="B31" s="13">
        <v>558400000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0.0405993172034298</v>
      </c>
      <c r="C5" s="10">
        <f>Assumptions!B6</f>
        <v>0.0405993172034298</v>
      </c>
      <c r="D5" s="10">
        <f>Assumptions!B6</f>
        <v>0.0405993172034298</v>
      </c>
      <c r="E5" s="10">
        <f>Assumptions!B6</f>
        <v>0.0405993172034298</v>
      </c>
      <c r="F5" s="10">
        <f>Assumptions!B6</f>
        <v>0.0405993172034298</v>
      </c>
    </row>
    <row r="6" spans="1:6" x14ac:dyDescent="0.25">
      <c r="A6" t="s">
        <v>43</v>
      </c>
      <c r="B6" s="18">
        <f>Assumptions!B29*(1+B5)</f>
        <v>9394530635.712564</v>
      </c>
      <c r="C6" s="18">
        <f>B6*(1+C5)</f>
        <v>9775942164.969198</v>
      </c>
      <c r="D6" s="18">
        <f>C6*(1+D5)</f>
        <v>10172838741.887167</v>
      </c>
      <c r="E6" s="18">
        <f>D6*(1+E5)</f>
        <v>10585849048.828384</v>
      </c>
      <c r="F6" s="18">
        <f>E6*(1+F5)</f>
        <v>11015627292.229393</v>
      </c>
    </row>
    <row r="7" spans="1:6" x14ac:dyDescent="0.25">
      <c r="A7" t="s">
        <v>5</v>
      </c>
      <c r="B7" s="10">
        <f>Assumptions!B7</f>
        <v>0.10519896573198449</v>
      </c>
      <c r="C7" s="10">
        <f>Assumptions!B7</f>
        <v>0.10519896573198449</v>
      </c>
      <c r="D7" s="10">
        <f>Assumptions!B7</f>
        <v>0.10519896573198449</v>
      </c>
      <c r="E7" s="10">
        <f>Assumptions!B7</f>
        <v>0.10519896573198449</v>
      </c>
      <c r="F7" s="10">
        <f>Assumptions!B7</f>
        <v>0.10519896573198449</v>
      </c>
    </row>
    <row r="8" spans="1:6" x14ac:dyDescent="0.25">
      <c r="A8" t="s">
        <v>44</v>
      </c>
      <c r="B8" s="18">
        <f>B6*B7</f>
        <v>988294906.4144045</v>
      </c>
      <c r="C8" s="18">
        <f>C6*C7</f>
        <v>1028419004.810457</v>
      </c>
      <c r="D8" s="18">
        <f>D6*D7</f>
        <v>1070172114.2047923</v>
      </c>
      <c r="E8" s="18">
        <f>E6*E7</f>
        <v>1113620371.331658</v>
      </c>
      <c r="F8" s="18">
        <f>F6*F7</f>
        <v>1158832598.031553</v>
      </c>
    </row>
    <row r="9" spans="1:6" x14ac:dyDescent="0.25">
      <c r="A9" t="s">
        <v>45</v>
      </c>
      <c r="B9" s="18">
        <f>B8*(1-Assumptions!B8)</f>
        <v>780752976.0673796</v>
      </c>
      <c r="C9" s="18">
        <f>C8*(1-Assumptions!B8)</f>
        <v>812451013.800261</v>
      </c>
      <c r="D9" s="18">
        <f>D8*(1-Assumptions!B8)</f>
        <v>845435970.2217859</v>
      </c>
      <c r="E9" s="18">
        <f>E8*(1-Assumptions!B8)</f>
        <v>879760093.3520098</v>
      </c>
      <c r="F9" s="18">
        <f>F8*(1-Assumptions!B8)</f>
        <v>915477752.444927</v>
      </c>
    </row>
    <row r="10" spans="1:6" x14ac:dyDescent="0.25">
      <c r="A10" t="s">
        <v>46</v>
      </c>
      <c r="B10" s="18">
        <f>B6*Assumptions!B9</f>
        <v>500601982.56024295</v>
      </c>
      <c r="C10" s="18">
        <f>C6*Assumptions!B9</f>
        <v>520926081.2428721</v>
      </c>
      <c r="D10" s="18">
        <f>D6*Assumptions!B9</f>
        <v>542075324.4547912</v>
      </c>
      <c r="E10" s="18">
        <f>E6*Assumptions!B9</f>
        <v>564083212.5004834</v>
      </c>
      <c r="F10" s="18">
        <f>F6*Assumptions!B9</f>
        <v>586984605.7739202</v>
      </c>
    </row>
    <row r="11" spans="1:6" x14ac:dyDescent="0.25">
      <c r="A11" t="s">
        <v>47</v>
      </c>
      <c r="B11" s="18">
        <f>-B6*Assumptions!B10</f>
        <v>-427247020.05109537</v>
      </c>
      <c r="C11" s="18">
        <f>-C6*Assumptions!B10</f>
        <v>-444592957.3423699</v>
      </c>
      <c r="D11" s="18">
        <f>-D6*Assumptions!B10</f>
        <v>-462643127.84392375</v>
      </c>
      <c r="E11" s="18">
        <f>-E6*Assumptions!B10</f>
        <v>-481426122.9432462</v>
      </c>
      <c r="F11" s="18">
        <f>-F6*Assumptions!B10</f>
        <v>-500971694.81863636</v>
      </c>
    </row>
    <row r="12" spans="1:6" x14ac:dyDescent="0.25">
      <c r="A12" t="s">
        <v>48</v>
      </c>
      <c r="B12" s="18">
        <f>-(B6-Assumptions!B29)*Assumptions!B11</f>
        <v>-212282326.51686028</v>
      </c>
      <c r="C12" s="18">
        <f>-(C6-B6)*Assumptions!B11</f>
        <v>-220900844.0278004</v>
      </c>
      <c r="D12" s="18">
        <f>-(D6-C6)*Assumptions!B11</f>
        <v>-229869267.46499026</v>
      </c>
      <c r="E12" s="18">
        <f>-(E6-D6)*Assumptions!B11</f>
        <v>-239201802.77012178</v>
      </c>
      <c r="F12" s="18">
        <f>-(F6-E6)*Assumptions!B11</f>
        <v>-248913232.6364175</v>
      </c>
    </row>
    <row r="13" spans="1:6" x14ac:dyDescent="0.25">
      <c r="A13" s="19" t="s">
        <v>49</v>
      </c>
      <c r="B13" s="20">
        <f>B9+B10+B11+B12</f>
        <v>641825612.059667</v>
      </c>
      <c r="C13" s="20">
        <f>C9+C10+C11+C12</f>
        <v>667883293.6729629</v>
      </c>
      <c r="D13" s="20">
        <f>D9+D10+D11+D12</f>
        <v>694998899.367663</v>
      </c>
      <c r="E13" s="20">
        <f>E9+E10+E11+E12</f>
        <v>723215380.1391253</v>
      </c>
      <c r="F13" s="20">
        <f>F9+F10+F11+F12</f>
        <v>752577430.7637933</v>
      </c>
    </row>
    <row r="14" spans="1:6" x14ac:dyDescent="0.25">
      <c r="A14" t="s">
        <v>50</v>
      </c>
      <c r="B14" s="21">
        <f>1/(1+Assumptions!$B$26)^(1-0.5*Assumptions!$B$32)</f>
        <v>0.9554369037557368</v>
      </c>
      <c r="C14" s="21">
        <f>1/(1+Assumptions!$B$26)^(2-0.5*Assumptions!$B$32)</f>
        <v>0.8721798234120908</v>
      </c>
      <c r="D14" s="21">
        <f>1/(1+Assumptions!$B$26)^(3-0.5*Assumptions!$B$32)</f>
        <v>0.7961777919367689</v>
      </c>
      <c r="E14" s="21">
        <f>1/(1+Assumptions!$B$26)^(4-0.5*Assumptions!$B$32)</f>
        <v>0.7267986020284283</v>
      </c>
      <c r="F14" s="21">
        <f>1/(1+Assumptions!$B$26)^(5-0.5*Assumptions!$B$32)</f>
        <v>0.6634651371341305</v>
      </c>
    </row>
    <row r="15" spans="1:6" x14ac:dyDescent="0.25">
      <c r="A15" s="19" t="s">
        <v>51</v>
      </c>
      <c r="B15" s="20">
        <f>B13*B14</f>
        <v>613223875.5374188</v>
      </c>
      <c r="C15" s="20">
        <f>C13*C14</f>
        <v>582514333.1355703</v>
      </c>
      <c r="D15" s="20">
        <f>D13*D14</f>
        <v>553342689.0970305</v>
      </c>
      <c r="E15" s="20">
        <f>E13*E14</f>
        <v>525631927.25057465</v>
      </c>
      <c r="F15" s="20">
        <f>F13*F14</f>
        <v>499308888.30575174</v>
      </c>
    </row>
    <row r="17" spans="1:2" x14ac:dyDescent="0.25">
      <c r="A17" s="22" t="s">
        <v>52</v>
      </c>
      <c r="B17" s="23">
        <f>SUM(B15:F15)</f>
        <v>2774021713.326346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752577430.7637933</v>
      </c>
    </row>
    <row r="5" spans="1:2" x14ac:dyDescent="0.25">
      <c r="A5" t="s">
        <v>56</v>
      </c>
      <c r="B5" s="18">
        <f>IF(Assumptions!$B$33=0,B4,B4-Forecast!F11-Forecast!F10-Forecast!F12)</f>
        <v>915477752.444927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0.2618935890533702</v>
      </c>
    </row>
    <row r="7" spans="1:2" x14ac:dyDescent="0.25">
      <c r="A7" t="s">
        <v>58</v>
      </c>
      <c r="B7" s="18">
        <f>-MAX(Forecast!F9,0)*B6</f>
        <v>-239757754.28631467</v>
      </c>
    </row>
    <row r="8" spans="1:2" x14ac:dyDescent="0.25">
      <c r="A8" t="s">
        <v>59</v>
      </c>
      <c r="B8" s="18">
        <f>IF(OR(Assumptions!$B$33=0,Assumptions!B12&lt;=0),B5,MAX(B5+B7,0))</f>
        <v>675719998.1586123</v>
      </c>
    </row>
    <row r="9" spans="1:2" x14ac:dyDescent="0.25">
      <c r="A9" t="s">
        <v>60</v>
      </c>
      <c r="B9" s="18">
        <f>B8*(1+Assumptions!B12)/(Assumptions!B26-Assumptions!B12)</f>
        <v>9830067925.738901</v>
      </c>
    </row>
    <row r="10" spans="1:2" x14ac:dyDescent="0.25">
      <c r="A10" t="s">
        <v>61</v>
      </c>
      <c r="B10" s="18">
        <f>B9/(1+Assumptions!B26)^(5-0.5*Assumptions!B32)</f>
        <v>6521907364.388178</v>
      </c>
    </row>
    <row r="11" spans="1:2" x14ac:dyDescent="0.25">
      <c r="A11" t="s">
        <v>62</v>
      </c>
      <c r="B11" s="18">
        <f>Forecast!B17+B10</f>
        <v>9295929077.714523</v>
      </c>
    </row>
    <row r="12" spans="1:2" x14ac:dyDescent="0.25">
      <c r="A12" t="s">
        <v>63</v>
      </c>
      <c r="B12" s="18">
        <f>-Assumptions!B30</f>
        <v>-820000000</v>
      </c>
    </row>
    <row r="13" spans="1:2" x14ac:dyDescent="0.25">
      <c r="A13" t="s">
        <v>64</v>
      </c>
      <c r="B13" s="18">
        <f>B11+B12</f>
        <v>8475929077.714523</v>
      </c>
    </row>
    <row r="14" spans="1:2" x14ac:dyDescent="0.25">
      <c r="A14" s="19" t="s">
        <v>65</v>
      </c>
      <c r="B14" s="24">
        <f>B13/Assumptions!B31</f>
        <v>15.178956084732313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1745817203.8054733</v>
      </c>
    </row>
    <row r="18" spans="1:2" x14ac:dyDescent="0.25">
      <c r="A18" t="s">
        <v>60</v>
      </c>
      <c r="B18" s="18">
        <f>B17*Assumptions!B13</f>
        <v>19680293465.440968</v>
      </c>
    </row>
    <row r="19" spans="1:2" x14ac:dyDescent="0.25">
      <c r="A19" t="s">
        <v>61</v>
      </c>
      <c r="B19" s="18">
        <f>B18/(1+Assumptions!B26)^(5-0.5*Assumptions!B32)</f>
        <v>13057188602.888723</v>
      </c>
    </row>
    <row r="20" spans="1:2" x14ac:dyDescent="0.25">
      <c r="A20" t="s">
        <v>62</v>
      </c>
      <c r="B20" s="18">
        <f>Forecast!B17+B19</f>
        <v>15831210316.215069</v>
      </c>
    </row>
    <row r="21" spans="1:2" x14ac:dyDescent="0.25">
      <c r="A21" t="s">
        <v>63</v>
      </c>
      <c r="B21" s="18">
        <f>-Assumptions!B30</f>
        <v>-820000000</v>
      </c>
    </row>
    <row r="22" spans="1:2" x14ac:dyDescent="0.25">
      <c r="A22" t="s">
        <v>64</v>
      </c>
      <c r="B22" s="18">
        <f>B20+B21</f>
        <v>15011210316.215069</v>
      </c>
    </row>
    <row r="23" spans="1:2" x14ac:dyDescent="0.25">
      <c r="A23" s="19" t="s">
        <v>65</v>
      </c>
      <c r="B23" s="25">
        <f>B22/Assumptions!B31</f>
        <v>26.882539964568533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15.178956084732313</v>
      </c>
    </row>
    <row r="29" spans="1:2" x14ac:dyDescent="0.25">
      <c r="A29" s="19" t="s">
        <v>73</v>
      </c>
      <c r="B29" s="12">
        <f>B28/B26-1</f>
        <v>-0.5355276595859145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0.075459</v>
      </c>
      <c r="B5" s="31">
        <v>19.621337672405947</v>
      </c>
      <c r="C5" s="31">
        <v>19.69964258001454</v>
      </c>
      <c r="D5" s="31">
        <v>19.77794748762313</v>
      </c>
      <c r="E5" s="31">
        <v>19.85625239523173</v>
      </c>
      <c r="F5" s="31">
        <v>19.934557302840314</v>
      </c>
    </row>
    <row r="6" spans="1:6" x14ac:dyDescent="0.25">
      <c r="A6" s="30">
        <v>0.085459</v>
      </c>
      <c r="B6" s="31">
        <v>17.07343038493785</v>
      </c>
      <c r="C6" s="31">
        <v>17.139751859755787</v>
      </c>
      <c r="D6" s="31">
        <v>17.20607333457372</v>
      </c>
      <c r="E6" s="31">
        <v>17.272394809391656</v>
      </c>
      <c r="F6" s="31">
        <v>17.33871628420959</v>
      </c>
    </row>
    <row r="7" spans="1:6" x14ac:dyDescent="0.25">
      <c r="A7" s="30">
        <v>0.095459</v>
      </c>
      <c r="B7" s="31">
        <v>15.064939805220119</v>
      </c>
      <c r="C7" s="31">
        <v>15.121913309697032</v>
      </c>
      <c r="D7" s="32">
        <v>15.178886814173945</v>
      </c>
      <c r="E7" s="31">
        <v>15.235860318650854</v>
      </c>
      <c r="F7" s="31">
        <v>15.29283382312776</v>
      </c>
    </row>
    <row r="8" spans="1:6" x14ac:dyDescent="0.25">
      <c r="A8" s="30">
        <v>0.105459</v>
      </c>
      <c r="B8" s="31">
        <v>13.442127708411814</v>
      </c>
      <c r="C8" s="31">
        <v>13.491632457244847</v>
      </c>
      <c r="D8" s="31">
        <v>13.541137206077883</v>
      </c>
      <c r="E8" s="31">
        <v>13.59064195491092</v>
      </c>
      <c r="F8" s="31">
        <v>13.640146703743952</v>
      </c>
    </row>
    <row r="9" spans="1:6" x14ac:dyDescent="0.25">
      <c r="A9" s="30">
        <v>0.115459</v>
      </c>
      <c r="B9" s="31">
        <v>12.104534618029096</v>
      </c>
      <c r="C9" s="31">
        <v>12.147955970256511</v>
      </c>
      <c r="D9" s="31">
        <v>12.191377322483923</v>
      </c>
      <c r="E9" s="31">
        <v>12.23479867471134</v>
      </c>
      <c r="F9" s="31">
        <v>12.278220026938754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9028000000</v>
      </c>
      <c r="C5" s="18">
        <v>8452000000</v>
      </c>
      <c r="D5" s="18">
        <v>8252000000</v>
      </c>
      <c r="E5" s="18">
        <v>8012000000</v>
      </c>
      <c r="F5" s="8" t="s">
        <v>84</v>
      </c>
    </row>
    <row r="6" spans="1:6" x14ac:dyDescent="0.25">
      <c r="A6" t="s">
        <v>44</v>
      </c>
      <c r="B6" s="18">
        <v>1142000000</v>
      </c>
      <c r="C6" s="18">
        <v>956000000</v>
      </c>
      <c r="D6" s="18">
        <v>801000000</v>
      </c>
      <c r="E6" s="18">
        <v>674000000</v>
      </c>
      <c r="F6" s="8" t="s">
        <v>85</v>
      </c>
    </row>
    <row r="7" spans="1:6" x14ac:dyDescent="0.25">
      <c r="A7" t="s">
        <v>86</v>
      </c>
      <c r="B7" s="18">
        <v>485000000</v>
      </c>
      <c r="C7" s="18">
        <v>459000000</v>
      </c>
      <c r="D7" s="18">
        <v>440000000</v>
      </c>
      <c r="E7" s="18">
        <v>415000000</v>
      </c>
      <c r="F7" s="8" t="s">
        <v>87</v>
      </c>
    </row>
    <row r="8" spans="1:6" x14ac:dyDescent="0.25">
      <c r="A8" t="s">
        <v>88</v>
      </c>
      <c r="B8" s="18">
        <v>426000000</v>
      </c>
      <c r="C8" s="18">
        <v>407000000</v>
      </c>
      <c r="D8" s="18">
        <v>357000000</v>
      </c>
      <c r="E8" s="18">
        <v>347000000</v>
      </c>
      <c r="F8" s="8" t="s">
        <v>89</v>
      </c>
    </row>
    <row r="9" spans="1:6" x14ac:dyDescent="0.25">
      <c r="A9" t="s">
        <v>90</v>
      </c>
      <c r="B9" s="18">
        <v>145000000</v>
      </c>
      <c r="C9" s="18">
        <v>206000000</v>
      </c>
      <c r="D9" s="18">
        <v>139000000</v>
      </c>
      <c r="E9" s="18">
        <v>96000000</v>
      </c>
      <c r="F9" s="8" t="s">
        <v>91</v>
      </c>
    </row>
    <row r="10" spans="1:6" x14ac:dyDescent="0.25">
      <c r="A10" t="s">
        <v>92</v>
      </c>
      <c r="B10" s="18">
        <v>2915000000</v>
      </c>
      <c r="C10" s="18">
        <v>2940000000</v>
      </c>
      <c r="D10" s="18">
        <v>3103000000</v>
      </c>
      <c r="E10" s="18">
        <v>4207000000</v>
      </c>
      <c r="F10" s="8" t="s">
        <v>93</v>
      </c>
    </row>
    <row r="11" spans="1:6" x14ac:dyDescent="0.25">
      <c r="A11" t="s">
        <v>94</v>
      </c>
      <c r="B11" s="18">
        <v>2095000000</v>
      </c>
      <c r="C11" s="18">
        <v>2403000000</v>
      </c>
      <c r="D11" s="18">
        <v>1872000000</v>
      </c>
      <c r="E11" s="18">
        <v>1833000000</v>
      </c>
      <c r="F11" s="8" t="s">
        <v>95</v>
      </c>
    </row>
    <row r="12" spans="1:6" x14ac:dyDescent="0.25">
      <c r="A12" t="s">
        <v>32</v>
      </c>
      <c r="B12" s="34">
        <v>558400000</v>
      </c>
      <c r="C12" s="34">
        <v>569900000</v>
      </c>
      <c r="D12" s="34">
        <v>574000000</v>
      </c>
      <c r="E12" s="34">
        <v>579000000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