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<sst xmlns="http://schemas.openxmlformats.org/spreadsheetml/2006/main" count="112" uniqueCount="100">
  <si>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News Corporation (NWS.AX)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</si>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</sst>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0.0405993172034298</v>
      </c>
    </row>
    <row r="7" spans="1:2" x14ac:dyDescent="0.25">
      <c r="A7" t="s">
        <v>5</v>
      </c>
      <c r="B7" s="6">
        <v>0.10519896573198449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0.05328653468404735</v>
      </c>
    </row>
    <row r="10" spans="1:2" x14ac:dyDescent="0.25">
      <c r="A10" t="s">
        <v>8</v>
      </c>
      <c r="B10" s="6">
        <v>0.045478272051926644</v>
      </c>
    </row>
    <row r="11" spans="1:2" x14ac:dyDescent="0.25">
      <c r="A11" t="s">
        <v>9</v>
      </c>
      <c r="B11" s="6">
        <v>0.5791666666666667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15.8466141462815</v>
      </c>
    </row>
    <row r="14" spans="1:3" x14ac:dyDescent="0.25">
      <c r="A14" t="s">
        <v>12</v>
      </c>
      <c r="B14" s="6">
        <v>0.10422064945415949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0.94841</v>
      </c>
      <c r="C19" s="8" t="s">
        <v>19</v>
      </c>
    </row>
    <row r="20" spans="1:2" x14ac:dyDescent="0.25">
      <c r="A20" t="s">
        <v>20</v>
      </c>
      <c r="B20" s="10">
        <f>B17+B19*B18</f>
        <v>0.1103846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24962441216</v>
      </c>
    </row>
    <row r="23" spans="1:2" x14ac:dyDescent="0.25">
      <c r="A23" t="s">
        <v>24</v>
      </c>
      <c r="B23" s="11">
        <v>2915000000</v>
      </c>
    </row>
    <row r="24" spans="1:2" x14ac:dyDescent="0.25">
      <c r="A24" t="s">
        <v>25</v>
      </c>
      <c r="B24" s="10">
        <f>B22/(B22+B23)</f>
        <v>0.8954351664697633</v>
      </c>
    </row>
    <row r="25" spans="1:2" x14ac:dyDescent="0.25">
      <c r="A25" t="s">
        <v>26</v>
      </c>
      <c r="B25" s="10">
        <f>1-B24</f>
        <v>0.10456483353023671</v>
      </c>
    </row>
    <row r="26" spans="1:2" x14ac:dyDescent="0.25">
      <c r="A26" t="s">
        <v>27</v>
      </c>
      <c r="B26" s="12">
        <f>B24*B20+B25*B21*(1-B8)</f>
        <v>0.10422064945415949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9028000000</v>
      </c>
      <c r="C29" s="8" t="s">
        <v>30</v>
      </c>
    </row>
    <row r="30" spans="1:2" x14ac:dyDescent="0.25">
      <c r="A30" t="s">
        <v>31</v>
      </c>
      <c r="B30" s="11">
        <v>820000000</v>
      </c>
    </row>
    <row r="31" spans="1:2" x14ac:dyDescent="0.25">
      <c r="A31" t="s">
        <v>32</v>
      </c>
      <c r="B31" s="13">
        <v>558400000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0.0405993172034298</v>
      </c>
      <c r="C5" s="10">
        <f>Assumptions!B6</f>
        <v>0.0405993172034298</v>
      </c>
      <c r="D5" s="10">
        <f>Assumptions!B6</f>
        <v>0.0405993172034298</v>
      </c>
      <c r="E5" s="10">
        <f>Assumptions!B6</f>
        <v>0.0405993172034298</v>
      </c>
      <c r="F5" s="10">
        <f>Assumptions!B6</f>
        <v>0.0405993172034298</v>
      </c>
    </row>
    <row r="6" spans="1:6" x14ac:dyDescent="0.25">
      <c r="A6" t="s">
        <v>43</v>
      </c>
      <c r="B6" s="18">
        <f>Assumptions!B29*(1+B5)</f>
        <v>9394530635.712564</v>
      </c>
      <c r="C6" s="18">
        <f>B6*(1+C5)</f>
        <v>9775942164.969198</v>
      </c>
      <c r="D6" s="18">
        <f>C6*(1+D5)</f>
        <v>10172838741.887167</v>
      </c>
      <c r="E6" s="18">
        <f>D6*(1+E5)</f>
        <v>10585849048.828384</v>
      </c>
      <c r="F6" s="18">
        <f>E6*(1+F5)</f>
        <v>11015627292.229393</v>
      </c>
    </row>
    <row r="7" spans="1:6" x14ac:dyDescent="0.25">
      <c r="A7" t="s">
        <v>5</v>
      </c>
      <c r="B7" s="10">
        <f>Assumptions!B7</f>
        <v>0.10519896573198449</v>
      </c>
      <c r="C7" s="10">
        <f>Assumptions!B7</f>
        <v>0.10519896573198449</v>
      </c>
      <c r="D7" s="10">
        <f>Assumptions!B7</f>
        <v>0.10519896573198449</v>
      </c>
      <c r="E7" s="10">
        <f>Assumptions!B7</f>
        <v>0.10519896573198449</v>
      </c>
      <c r="F7" s="10">
        <f>Assumptions!B7</f>
        <v>0.10519896573198449</v>
      </c>
    </row>
    <row r="8" spans="1:6" x14ac:dyDescent="0.25">
      <c r="A8" t="s">
        <v>44</v>
      </c>
      <c r="B8" s="18">
        <f>B6*B7</f>
        <v>988294906.4144045</v>
      </c>
      <c r="C8" s="18">
        <f>C6*C7</f>
        <v>1028419004.810457</v>
      </c>
      <c r="D8" s="18">
        <f>D6*D7</f>
        <v>1070172114.2047923</v>
      </c>
      <c r="E8" s="18">
        <f>E6*E7</f>
        <v>1113620371.331658</v>
      </c>
      <c r="F8" s="18">
        <f>F6*F7</f>
        <v>1158832598.031553</v>
      </c>
    </row>
    <row r="9" spans="1:6" x14ac:dyDescent="0.25">
      <c r="A9" t="s">
        <v>45</v>
      </c>
      <c r="B9" s="18">
        <f>B8*(1-Assumptions!B8)</f>
        <v>691806434.4900831</v>
      </c>
      <c r="C9" s="18">
        <f>C8*(1-Assumptions!B8)</f>
        <v>719893303.3673198</v>
      </c>
      <c r="D9" s="18">
        <f>D8*(1-Assumptions!B8)</f>
        <v>749120479.9433545</v>
      </c>
      <c r="E9" s="18">
        <f>E8*(1-Assumptions!B8)</f>
        <v>779534259.9321605</v>
      </c>
      <c r="F9" s="18">
        <f>F8*(1-Assumptions!B8)</f>
        <v>811182818.6220871</v>
      </c>
    </row>
    <row r="10" spans="1:6" x14ac:dyDescent="0.25">
      <c r="A10" t="s">
        <v>46</v>
      </c>
      <c r="B10" s="18">
        <f>B6*Assumptions!B9</f>
        <v>500601982.56024295</v>
      </c>
      <c r="C10" s="18">
        <f>C6*Assumptions!B9</f>
        <v>520926081.2428721</v>
      </c>
      <c r="D10" s="18">
        <f>D6*Assumptions!B9</f>
        <v>542075324.4547912</v>
      </c>
      <c r="E10" s="18">
        <f>E6*Assumptions!B9</f>
        <v>564083212.5004834</v>
      </c>
      <c r="F10" s="18">
        <f>F6*Assumptions!B9</f>
        <v>586984605.7739202</v>
      </c>
    </row>
    <row r="11" spans="1:6" x14ac:dyDescent="0.25">
      <c r="A11" t="s">
        <v>47</v>
      </c>
      <c r="B11" s="18">
        <f>-B6*Assumptions!B10</f>
        <v>-427247020.05109537</v>
      </c>
      <c r="C11" s="18">
        <f>-C6*Assumptions!B10</f>
        <v>-444592957.3423699</v>
      </c>
      <c r="D11" s="18">
        <f>-D6*Assumptions!B10</f>
        <v>-462643127.84392375</v>
      </c>
      <c r="E11" s="18">
        <f>-E6*Assumptions!B10</f>
        <v>-481426122.9432462</v>
      </c>
      <c r="F11" s="18">
        <f>-F6*Assumptions!B10</f>
        <v>-500971694.81863636</v>
      </c>
    </row>
    <row r="12" spans="1:6" x14ac:dyDescent="0.25">
      <c r="A12" t="s">
        <v>48</v>
      </c>
      <c r="B12" s="18">
        <f>-(B6-Assumptions!B29)*Assumptions!B11</f>
        <v>-212282326.51686028</v>
      </c>
      <c r="C12" s="18">
        <f>-(C6-B6)*Assumptions!B11</f>
        <v>-220900844.0278004</v>
      </c>
      <c r="D12" s="18">
        <f>-(D6-C6)*Assumptions!B11</f>
        <v>-229869267.46499026</v>
      </c>
      <c r="E12" s="18">
        <f>-(E6-D6)*Assumptions!B11</f>
        <v>-239201802.77012178</v>
      </c>
      <c r="F12" s="18">
        <f>-(F6-E6)*Assumptions!B11</f>
        <v>-248913232.6364175</v>
      </c>
    </row>
    <row r="13" spans="1:6" x14ac:dyDescent="0.25">
      <c r="A13" s="19" t="s">
        <v>49</v>
      </c>
      <c r="B13" s="20">
        <f>B9+B10+B11+B12</f>
        <v>552879070.4823705</v>
      </c>
      <c r="C13" s="20">
        <f>C9+C10+C11+C12</f>
        <v>575325583.2400215</v>
      </c>
      <c r="D13" s="20">
        <f>D9+D10+D11+D12</f>
        <v>598683409.0892316</v>
      </c>
      <c r="E13" s="20">
        <f>E9+E10+E11+E12</f>
        <v>622989546.719276</v>
      </c>
      <c r="F13" s="20">
        <f>F9+F10+F11+F12</f>
        <v>648282496.9409534</v>
      </c>
    </row>
    <row r="14" spans="1:6" x14ac:dyDescent="0.25">
      <c r="A14" t="s">
        <v>50</v>
      </c>
      <c r="B14" s="21">
        <f>1/(1+Assumptions!$B$26)^(1-0.5*Assumptions!$B$32)</f>
        <v>0.951638640305422</v>
      </c>
      <c r="C14" s="21">
        <f>1/(1+Assumptions!$B$26)^(2-0.5*Assumptions!$B$32)</f>
        <v>0.861819275681756</v>
      </c>
      <c r="D14" s="21">
        <f>1/(1+Assumptions!$B$26)^(3-0.5*Assumptions!$B$32)</f>
        <v>0.7804774128320932</v>
      </c>
      <c r="E14" s="21">
        <f>1/(1+Assumptions!$B$26)^(4-0.5*Assumptions!$B$32)</f>
        <v>0.7068129120913471</v>
      </c>
      <c r="F14" s="21">
        <f>1/(1+Assumptions!$B$26)^(5-0.5*Assumptions!$B$32)</f>
        <v>0.6401011540951894</v>
      </c>
    </row>
    <row r="15" spans="1:6" x14ac:dyDescent="0.25">
      <c r="A15" s="19" t="s">
        <v>51</v>
      </c>
      <c r="B15" s="20">
        <f>B13*B14</f>
        <v>526141086.88716865</v>
      </c>
      <c r="C15" s="20">
        <f>C13*C14</f>
        <v>495826677.4290991</v>
      </c>
      <c r="D15" s="20">
        <f>D13*D14</f>
        <v>467258878.2314611</v>
      </c>
      <c r="E15" s="20">
        <f>E13*E14</f>
        <v>440337055.7191198</v>
      </c>
      <c r="F15" s="20">
        <f>F13*F14</f>
        <v>414966374.4716154</v>
      </c>
    </row>
    <row r="17" spans="1:2" x14ac:dyDescent="0.25">
      <c r="A17" s="22" t="s">
        <v>52</v>
      </c>
      <c r="B17" s="23">
        <f>SUM(B15:F15)</f>
        <v>2344530072.738464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648282496.9409534</v>
      </c>
    </row>
    <row r="5" spans="1:2" x14ac:dyDescent="0.25">
      <c r="A5" t="s">
        <v>56</v>
      </c>
      <c r="B5" s="18">
        <f>IF(Assumptions!$B$33=0,B4,B4-Forecast!F11-Forecast!F10-Forecast!F12)</f>
        <v>811182818.6220871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0.23987568808037438</v>
      </c>
    </row>
    <row r="7" spans="1:2" x14ac:dyDescent="0.25">
      <c r="A7" t="s">
        <v>58</v>
      </c>
      <c r="B7" s="18">
        <f>-MAX(Forecast!F9,0)*B6</f>
        <v>-194583036.77595067</v>
      </c>
    </row>
    <row r="8" spans="1:2" x14ac:dyDescent="0.25">
      <c r="A8" t="s">
        <v>59</v>
      </c>
      <c r="B8" s="18">
        <f>IF(OR(Assumptions!$B$33=0,Assumptions!B12&lt;=0),B5,MAX(B5+B7,0))</f>
        <v>616599781.8461365</v>
      </c>
    </row>
    <row r="9" spans="1:2" x14ac:dyDescent="0.25">
      <c r="A9" t="s">
        <v>60</v>
      </c>
      <c r="B9" s="18">
        <f>B8*(1+Assumptions!B12)/(Assumptions!B26-Assumptions!B12)</f>
        <v>7977904507.813975</v>
      </c>
    </row>
    <row r="10" spans="1:2" x14ac:dyDescent="0.25">
      <c r="A10" t="s">
        <v>61</v>
      </c>
      <c r="B10" s="18">
        <f>B9/(1+Assumptions!B26)^(5-0.5*Assumptions!B32)</f>
        <v>5106665882.712939</v>
      </c>
    </row>
    <row r="11" spans="1:2" x14ac:dyDescent="0.25">
      <c r="A11" t="s">
        <v>62</v>
      </c>
      <c r="B11" s="18">
        <f>Forecast!B17+B10</f>
        <v>7451195955.451403</v>
      </c>
    </row>
    <row r="12" spans="1:2" x14ac:dyDescent="0.25">
      <c r="A12" t="s">
        <v>63</v>
      </c>
      <c r="B12" s="18">
        <f>-Assumptions!B30</f>
        <v>-820000000</v>
      </c>
    </row>
    <row r="13" spans="1:2" x14ac:dyDescent="0.25">
      <c r="A13" t="s">
        <v>64</v>
      </c>
      <c r="B13" s="18">
        <f>B11+B12</f>
        <v>6631195955.451403</v>
      </c>
    </row>
    <row r="14" spans="1:2" x14ac:dyDescent="0.25">
      <c r="A14" s="19" t="s">
        <v>65</v>
      </c>
      <c r="B14" s="24">
        <f>B13/Assumptions!B31</f>
        <v>11.875350923086323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1745817203.8054733</v>
      </c>
    </row>
    <row r="18" spans="1:2" x14ac:dyDescent="0.25">
      <c r="A18" t="s">
        <v>60</v>
      </c>
      <c r="B18" s="18">
        <f>B17*Assumptions!B13</f>
        <v>27665291598.645424</v>
      </c>
    </row>
    <row r="19" spans="1:2" x14ac:dyDescent="0.25">
      <c r="A19" t="s">
        <v>61</v>
      </c>
      <c r="B19" s="18">
        <f>B18/(1+Assumptions!B26)^(5-0.5*Assumptions!B32)</f>
        <v>17708585080.672882</v>
      </c>
    </row>
    <row r="20" spans="1:2" x14ac:dyDescent="0.25">
      <c r="A20" t="s">
        <v>62</v>
      </c>
      <c r="B20" s="18">
        <f>Forecast!B17+B19</f>
        <v>20053115153.411346</v>
      </c>
    </row>
    <row r="21" spans="1:2" x14ac:dyDescent="0.25">
      <c r="A21" t="s">
        <v>63</v>
      </c>
      <c r="B21" s="18">
        <f>-Assumptions!B30</f>
        <v>-820000000</v>
      </c>
    </row>
    <row r="22" spans="1:2" x14ac:dyDescent="0.25">
      <c r="A22" t="s">
        <v>64</v>
      </c>
      <c r="B22" s="18">
        <f>B20+B21</f>
        <v>19233115153.411346</v>
      </c>
    </row>
    <row r="23" spans="1:2" x14ac:dyDescent="0.25">
      <c r="A23" s="19" t="s">
        <v>65</v>
      </c>
      <c r="B23" s="25">
        <f>B22/Assumptions!B31</f>
        <v>34.443257796223754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46.56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16.675367766197812</v>
      </c>
    </row>
    <row r="29" spans="1:2" x14ac:dyDescent="0.25">
      <c r="A29" s="19" t="s">
        <v>73</v>
      </c>
      <c r="B29" s="12">
        <f>B28/B26-1</f>
        <v>-0.6418520668771948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0.084221</v>
      </c>
      <c r="B5" s="31">
        <v>15.08558391767674</v>
      </c>
      <c r="C5" s="31">
        <v>15.145520610798464</v>
      </c>
      <c r="D5" s="31">
        <v>15.205457303920188</v>
      </c>
      <c r="E5" s="31">
        <v>15.265393997041913</v>
      </c>
      <c r="F5" s="31">
        <v>15.32533069016363</v>
      </c>
    </row>
    <row r="6" spans="1:6" x14ac:dyDescent="0.25">
      <c r="A6" s="30">
        <v>0.094221</v>
      </c>
      <c r="B6" s="31">
        <v>13.258121323144268</v>
      </c>
      <c r="C6" s="31">
        <v>13.30952840180712</v>
      </c>
      <c r="D6" s="31">
        <v>13.360935480469967</v>
      </c>
      <c r="E6" s="31">
        <v>13.412342559132822</v>
      </c>
      <c r="F6" s="31">
        <v>13.463749637795672</v>
      </c>
    </row>
    <row r="7" spans="1:6" x14ac:dyDescent="0.25">
      <c r="A7" s="30">
        <v>0.104221</v>
      </c>
      <c r="B7" s="31">
        <v>11.786083129846435</v>
      </c>
      <c r="C7" s="31">
        <v>11.830693527247702</v>
      </c>
      <c r="D7" s="32">
        <v>11.875303924648966</v>
      </c>
      <c r="E7" s="31">
        <v>11.91991432205023</v>
      </c>
      <c r="F7" s="31">
        <v>11.964524719451497</v>
      </c>
    </row>
    <row r="8" spans="1:6" x14ac:dyDescent="0.25">
      <c r="A8" s="30">
        <v>0.114221</v>
      </c>
      <c r="B8" s="31">
        <v>10.575871672060979</v>
      </c>
      <c r="C8" s="31">
        <v>10.614958133294248</v>
      </c>
      <c r="D8" s="31">
        <v>10.654044594527514</v>
      </c>
      <c r="E8" s="31">
        <v>10.69313105576078</v>
      </c>
      <c r="F8" s="31">
        <v>10.73221751699405</v>
      </c>
    </row>
    <row r="9" spans="1:6" x14ac:dyDescent="0.25">
      <c r="A9" s="30">
        <v>0.124221</v>
      </c>
      <c r="B9" s="31">
        <v>9.564042941175044</v>
      </c>
      <c r="C9" s="31">
        <v>9.598566510993649</v>
      </c>
      <c r="D9" s="31">
        <v>9.633090080812247</v>
      </c>
      <c r="E9" s="31">
        <v>9.667613650630855</v>
      </c>
      <c r="F9" s="31">
        <v>9.702137220449458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9028000000</v>
      </c>
      <c r="C5" s="18">
        <v>8452000000</v>
      </c>
      <c r="D5" s="18">
        <v>8252000000</v>
      </c>
      <c r="E5" s="18">
        <v>8012000000</v>
      </c>
      <c r="F5" s="8" t="s">
        <v>84</v>
      </c>
    </row>
    <row r="6" spans="1:6" x14ac:dyDescent="0.25">
      <c r="A6" t="s">
        <v>44</v>
      </c>
      <c r="B6" s="18">
        <v>1142000000</v>
      </c>
      <c r="C6" s="18">
        <v>956000000</v>
      </c>
      <c r="D6" s="18">
        <v>801000000</v>
      </c>
      <c r="E6" s="18">
        <v>674000000</v>
      </c>
      <c r="F6" s="8" t="s">
        <v>85</v>
      </c>
    </row>
    <row r="7" spans="1:6" x14ac:dyDescent="0.25">
      <c r="A7" t="s">
        <v>86</v>
      </c>
      <c r="B7" s="18">
        <v>485000000</v>
      </c>
      <c r="C7" s="18">
        <v>459000000</v>
      </c>
      <c r="D7" s="18">
        <v>440000000</v>
      </c>
      <c r="E7" s="18">
        <v>415000000</v>
      </c>
      <c r="F7" s="8" t="s">
        <v>87</v>
      </c>
    </row>
    <row r="8" spans="1:6" x14ac:dyDescent="0.25">
      <c r="A8" t="s">
        <v>88</v>
      </c>
      <c r="B8" s="18">
        <v>426000000</v>
      </c>
      <c r="C8" s="18">
        <v>407000000</v>
      </c>
      <c r="D8" s="18">
        <v>357000000</v>
      </c>
      <c r="E8" s="18">
        <v>347000000</v>
      </c>
      <c r="F8" s="8" t="s">
        <v>89</v>
      </c>
    </row>
    <row r="9" spans="1:6" x14ac:dyDescent="0.25">
      <c r="A9" t="s">
        <v>90</v>
      </c>
      <c r="B9" s="18">
        <v>145000000</v>
      </c>
      <c r="C9" s="18">
        <v>206000000</v>
      </c>
      <c r="D9" s="18">
        <v>139000000</v>
      </c>
      <c r="E9" s="18">
        <v>96000000</v>
      </c>
      <c r="F9" s="8" t="s">
        <v>91</v>
      </c>
    </row>
    <row r="10" spans="1:6" x14ac:dyDescent="0.25">
      <c r="A10" t="s">
        <v>92</v>
      </c>
      <c r="B10" s="18">
        <v>2915000000</v>
      </c>
      <c r="C10" s="18">
        <v>2940000000</v>
      </c>
      <c r="D10" s="18">
        <v>3103000000</v>
      </c>
      <c r="E10" s="18">
        <v>4207000000</v>
      </c>
      <c r="F10" s="8" t="s">
        <v>93</v>
      </c>
    </row>
    <row r="11" spans="1:6" x14ac:dyDescent="0.25">
      <c r="A11" t="s">
        <v>94</v>
      </c>
      <c r="B11" s="18">
        <v>2095000000</v>
      </c>
      <c r="C11" s="18">
        <v>2403000000</v>
      </c>
      <c r="D11" s="18">
        <v>1872000000</v>
      </c>
      <c r="E11" s="18">
        <v>1833000000</v>
      </c>
      <c r="F11" s="8" t="s">
        <v>95</v>
      </c>
    </row>
    <row r="12" spans="1:6" x14ac:dyDescent="0.25">
      <c r="A12" t="s">
        <v>32</v>
      </c>
      <c r="B12" s="34">
        <v>558400000</v>
      </c>
      <c r="C12" s="34">
        <v>569900000</v>
      </c>
      <c r="D12" s="34">
        <v>574000000</v>
      </c>
      <c r="E12" s="34">
        <v>578800000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2026-09-19T01:04:02Z</dcterms:modified>
</cp:coreProperties>
</file>