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<sst xmlns="http://schemas.openxmlformats.org/spreadsheetml/2006/main" count="111" uniqueCount="99">
  <si>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NXP Semiconductors N.V. (NXPI)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</si>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</sst>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-0.02420874805294959</v>
      </c>
    </row>
    <row r="7" spans="1:2" x14ac:dyDescent="0.25">
      <c r="A7" t="s">
        <v>5</v>
      </c>
      <c r="B7" s="6">
        <v>0.2717067967453564</v>
      </c>
    </row>
    <row r="8" spans="1:2" x14ac:dyDescent="0.25">
      <c r="A8" t="s">
        <v>6</v>
      </c>
      <c r="B8" s="6">
        <v>0.16658160570343114</v>
      </c>
    </row>
    <row r="9" spans="1:2" x14ac:dyDescent="0.25">
      <c r="A9" t="s">
        <v>7</v>
      </c>
      <c r="B9" s="6">
        <v>0.07977843639320079</v>
      </c>
    </row>
    <row r="10" spans="1:2" x14ac:dyDescent="0.25">
      <c r="A10" t="s">
        <v>8</v>
      </c>
      <c r="B10" s="6">
        <v>0.07047766993170207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17.276160132402378</v>
      </c>
    </row>
    <row r="14" spans="1:3" x14ac:dyDescent="0.25">
      <c r="A14" t="s">
        <v>12</v>
      </c>
      <c r="B14" s="6">
        <v>0.1494977640712756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1.54739</v>
      </c>
      <c r="C19" s="8" t="s">
        <v>19</v>
      </c>
    </row>
    <row r="20" spans="1:2" x14ac:dyDescent="0.25">
      <c r="A20" t="s">
        <v>20</v>
      </c>
      <c r="B20" s="10">
        <f>B17+B19*B18</f>
        <v>0.13508645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57490911232</v>
      </c>
    </row>
    <row r="23" spans="1:2" x14ac:dyDescent="0.25">
      <c r="A23" t="s">
        <v>24</v>
      </c>
      <c r="B23" s="11">
        <v>12222000000</v>
      </c>
    </row>
    <row r="24" spans="1:2" x14ac:dyDescent="0.25">
      <c r="A24" t="s">
        <v>25</v>
      </c>
      <c r="B24" s="10">
        <f>B22/(B22+B23)</f>
        <v>0.8246809696510021</v>
      </c>
    </row>
    <row r="25" spans="1:2" x14ac:dyDescent="0.25">
      <c r="A25" t="s">
        <v>26</v>
      </c>
      <c r="B25" s="10">
        <f>1-B24</f>
        <v>0.17531903034899787</v>
      </c>
    </row>
    <row r="26" spans="1:2" x14ac:dyDescent="0.25">
      <c r="A26" t="s">
        <v>27</v>
      </c>
      <c r="B26" s="12">
        <f>B24*B20+B25*B21*(1-B8)</f>
        <v>0.11870600752877102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12269000000</v>
      </c>
      <c r="C29" s="8" t="s">
        <v>30</v>
      </c>
    </row>
    <row r="30" spans="1:2" x14ac:dyDescent="0.25">
      <c r="A30" t="s">
        <v>31</v>
      </c>
      <c r="B30" s="11">
        <v>9316000000</v>
      </c>
    </row>
    <row r="31" spans="1:2" x14ac:dyDescent="0.25">
      <c r="A31" t="s">
        <v>32</v>
      </c>
      <c r="B31" s="13">
        <v>254331000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-0.02420874805294959</v>
      </c>
      <c r="C5" s="10">
        <f>Assumptions!B6</f>
        <v>-0.02420874805294959</v>
      </c>
      <c r="D5" s="10">
        <f>Assumptions!B6</f>
        <v>-0.02420874805294959</v>
      </c>
      <c r="E5" s="10">
        <f>Assumptions!B6</f>
        <v>-0.02420874805294959</v>
      </c>
      <c r="F5" s="10">
        <f>Assumptions!B6</f>
        <v>-0.02420874805294959</v>
      </c>
    </row>
    <row r="6" spans="1:6" x14ac:dyDescent="0.25">
      <c r="A6" t="s">
        <v>43</v>
      </c>
      <c r="B6" s="18">
        <f>Assumptions!B29*(1+B5)</f>
        <v>11971982870.138361</v>
      </c>
      <c r="C6" s="18">
        <f>B6*(1+C5)</f>
        <v>11682156153.140953</v>
      </c>
      <c r="D6" s="18">
        <f>C6*(1+D5)</f>
        <v>11399345778.11435</v>
      </c>
      <c r="E6" s="18">
        <f>D6*(1+E5)</f>
        <v>11123381888.203524</v>
      </c>
      <c r="F6" s="18">
        <f>E6*(1+F5)</f>
        <v>10854098738.575262</v>
      </c>
    </row>
    <row r="7" spans="1:6" x14ac:dyDescent="0.25">
      <c r="A7" t="s">
        <v>5</v>
      </c>
      <c r="B7" s="10">
        <f>Assumptions!B7</f>
        <v>0.2717067967453564</v>
      </c>
      <c r="C7" s="10">
        <f>Assumptions!B7</f>
        <v>0.2717067967453564</v>
      </c>
      <c r="D7" s="10">
        <f>Assumptions!B7</f>
        <v>0.2717067967453564</v>
      </c>
      <c r="E7" s="10">
        <f>Assumptions!B7</f>
        <v>0.2717067967453564</v>
      </c>
      <c r="F7" s="10">
        <f>Assumptions!B7</f>
        <v>0.2717067967453564</v>
      </c>
    </row>
    <row r="8" spans="1:6" x14ac:dyDescent="0.25">
      <c r="A8" t="s">
        <v>44</v>
      </c>
      <c r="B8" s="18">
        <f>B6*B7</f>
        <v>3252869116.3355722</v>
      </c>
      <c r="C8" s="18">
        <f>C6*C7</f>
        <v>3174121227.4489837</v>
      </c>
      <c r="D8" s="18">
        <f>D6*D7</f>
        <v>3097279726.3641524</v>
      </c>
      <c r="E8" s="18">
        <f>E6*E7</f>
        <v>3022298461.8190937</v>
      </c>
      <c r="F8" s="18">
        <f>F6*F7</f>
        <v>2949132399.816098</v>
      </c>
    </row>
    <row r="9" spans="1:6" x14ac:dyDescent="0.25">
      <c r="A9" t="s">
        <v>45</v>
      </c>
      <c r="B9" s="18">
        <f>B8*(1-Assumptions!B8)</f>
        <v>2711000955.7932916</v>
      </c>
      <c r="C9" s="18">
        <f>C8*(1-Assumptions!B8)</f>
        <v>2645371016.683186</v>
      </c>
      <c r="D9" s="18">
        <f>D8*(1-Assumptions!B8)</f>
        <v>2581329896.233728</v>
      </c>
      <c r="E9" s="18">
        <f>E8*(1-Assumptions!B8)</f>
        <v>2518839131.1342587</v>
      </c>
      <c r="F9" s="18">
        <f>F8*(1-Assumptions!B8)</f>
        <v>2457861189.222719</v>
      </c>
    </row>
    <row r="10" spans="1:6" x14ac:dyDescent="0.25">
      <c r="A10" t="s">
        <v>46</v>
      </c>
      <c r="B10" s="18">
        <f>B6*Assumptions!B9</f>
        <v>955106073.9058226</v>
      </c>
      <c r="C10" s="18">
        <f>C6*Assumptions!B9</f>
        <v>931984151.5987947</v>
      </c>
      <c r="D10" s="18">
        <f>D6*Assumptions!B9</f>
        <v>909421982.0833975</v>
      </c>
      <c r="E10" s="18">
        <f>E6*Assumptions!B9</f>
        <v>887406014.4453264</v>
      </c>
      <c r="F10" s="18">
        <f>F6*Assumptions!B9</f>
        <v>865923025.8209474</v>
      </c>
    </row>
    <row r="11" spans="1:6" x14ac:dyDescent="0.25">
      <c r="A11" t="s">
        <v>47</v>
      </c>
      <c r="B11" s="18">
        <f>-B6*Assumptions!B10</f>
        <v>-843757457.1496027</v>
      </c>
      <c r="C11" s="18">
        <f>-C6*Assumptions!B10</f>
        <v>-823331145.4516704</v>
      </c>
      <c r="D11" s="18">
        <f>-D6*Assumptions!B10</f>
        <v>-803399329.1872846</v>
      </c>
      <c r="E11" s="18">
        <f>-E6*Assumptions!B10</f>
        <v>-783950037.2410809</v>
      </c>
      <c r="F11" s="18">
        <f>-F6*Assumptions!B10</f>
        <v>-764971588.3034111</v>
      </c>
    </row>
    <row r="12" spans="1:6" x14ac:dyDescent="0.25">
      <c r="A12" t="s">
        <v>48</v>
      </c>
      <c r="B12" s="18">
        <f>-(B6-Assumptions!B29)*Assumptions!B11</f>
        <v>-297017129.861639</v>
      </c>
      <c r="C12" s="18">
        <f>-(C6-B6)*Assumptions!B11</f>
        <v>-289826716.9974079</v>
      </c>
      <c r="D12" s="18">
        <f>-(D6-C6)*Assumptions!B11</f>
        <v>-282810375.0266037</v>
      </c>
      <c r="E12" s="18">
        <f>-(E6-D6)*Assumptions!B11</f>
        <v>-275963889.9108257</v>
      </c>
      <c r="F12" s="18">
        <f>-(F6-E6)*Assumptions!B11</f>
        <v>-269283149.62826157</v>
      </c>
    </row>
    <row r="13" spans="1:6" x14ac:dyDescent="0.25">
      <c r="A13" s="19" t="s">
        <v>49</v>
      </c>
      <c r="B13" s="20">
        <f>B9+B10+B11+B12</f>
        <v>2525332442.687873</v>
      </c>
      <c r="C13" s="20">
        <f>C9+C10+C11+C12</f>
        <v>2464197305.832902</v>
      </c>
      <c r="D13" s="20">
        <f>D9+D10+D11+D12</f>
        <v>2404542174.103237</v>
      </c>
      <c r="E13" s="20">
        <f>E9+E10+E11+E12</f>
        <v>2346331218.4276786</v>
      </c>
      <c r="F13" s="20">
        <f>F9+F10+F11+F12</f>
        <v>2289529477.1119943</v>
      </c>
    </row>
    <row r="14" spans="1:6" x14ac:dyDescent="0.25">
      <c r="A14" t="s">
        <v>50</v>
      </c>
      <c r="B14" s="21">
        <f>1/(1+Assumptions!$B$26)^(1-0.5*Assumptions!$B$32)</f>
        <v>0.9454575077326134</v>
      </c>
      <c r="C14" s="21">
        <f>1/(1+Assumptions!$B$26)^(2-0.5*Assumptions!$B$32)</f>
        <v>0.8451349160277912</v>
      </c>
      <c r="D14" s="21">
        <f>1/(1+Assumptions!$B$26)^(3-0.5*Assumptions!$B$32)</f>
        <v>0.7554575646685763</v>
      </c>
      <c r="E14" s="21">
        <f>1/(1+Assumptions!$B$26)^(4-0.5*Assumptions!$B$32)</f>
        <v>0.67529588612596</v>
      </c>
      <c r="F14" s="21">
        <f>1/(1+Assumptions!$B$26)^(5-0.5*Assumptions!$B$32)</f>
        <v>0.6036401713956048</v>
      </c>
    </row>
    <row r="15" spans="1:6" x14ac:dyDescent="0.25">
      <c r="A15" s="19" t="s">
        <v>51</v>
      </c>
      <c r="B15" s="20">
        <f>B13*B14</f>
        <v>2387594517.459989</v>
      </c>
      <c r="C15" s="20">
        <f>C13*C14</f>
        <v>2082579183.140999</v>
      </c>
      <c r="D15" s="20">
        <f>D13*D14</f>
        <v>1816529574.9909153</v>
      </c>
      <c r="E15" s="20">
        <f>E13*E14</f>
        <v>1584467819.2931228</v>
      </c>
      <c r="F15" s="20">
        <f>F13*F14</f>
        <v>1382051965.9791737</v>
      </c>
    </row>
    <row r="17" spans="1:2" x14ac:dyDescent="0.25">
      <c r="A17" s="22" t="s">
        <v>52</v>
      </c>
      <c r="B17" s="23">
        <f>SUM(B15:F15)</f>
        <v>9253223060.8642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2289529477.1119943</v>
      </c>
    </row>
    <row r="5" spans="1:2" x14ac:dyDescent="0.25">
      <c r="A5" t="s">
        <v>56</v>
      </c>
      <c r="B5" s="18">
        <f>IF(Assumptions!$B$33=0,B4,B4-Forecast!F11-Forecast!F10-Forecast!F12)</f>
        <v>2748687080.678364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0.16722658131583043</v>
      </c>
    </row>
    <row r="7" spans="1:2" x14ac:dyDescent="0.25">
      <c r="A7" t="s">
        <v>58</v>
      </c>
      <c r="B7" s="18">
        <f>-MAX(Forecast!F9,0)*B6</f>
        <v>-459653543.60883296</v>
      </c>
    </row>
    <row r="8" spans="1:2" x14ac:dyDescent="0.25">
      <c r="A8" t="s">
        <v>59</v>
      </c>
      <c r="B8" s="18">
        <f>IF(OR(Assumptions!$B$33=0,Assumptions!B12&lt;=0),B5,MAX(B5+B7,0))</f>
        <v>2289033537.069531</v>
      </c>
    </row>
    <row r="9" spans="1:2" x14ac:dyDescent="0.25">
      <c r="A9" t="s">
        <v>60</v>
      </c>
      <c r="B9" s="18">
        <f>B8*(1+Assumptions!B12)/(Assumptions!B26-Assumptions!B12)</f>
        <v>25038516071.404343</v>
      </c>
    </row>
    <row r="10" spans="1:2" x14ac:dyDescent="0.25">
      <c r="A10" t="s">
        <v>61</v>
      </c>
      <c r="B10" s="18">
        <f>B9/(1+Assumptions!B26)^(5-0.5*Assumptions!B32)</f>
        <v>15114254132.834122</v>
      </c>
    </row>
    <row r="11" spans="1:2" x14ac:dyDescent="0.25">
      <c r="A11" t="s">
        <v>62</v>
      </c>
      <c r="B11" s="18">
        <f>Forecast!B17+B10</f>
        <v>24367477193.698322</v>
      </c>
    </row>
    <row r="12" spans="1:2" x14ac:dyDescent="0.25">
      <c r="A12" t="s">
        <v>63</v>
      </c>
      <c r="B12" s="18">
        <f>-Assumptions!B30</f>
        <v>-9316000000</v>
      </c>
    </row>
    <row r="13" spans="1:2" x14ac:dyDescent="0.25">
      <c r="A13" t="s">
        <v>64</v>
      </c>
      <c r="B13" s="18">
        <f>B11+B12</f>
        <v>15051477193.698322</v>
      </c>
    </row>
    <row r="14" spans="1:2" x14ac:dyDescent="0.25">
      <c r="A14" s="19" t="s">
        <v>65</v>
      </c>
      <c r="B14" s="24">
        <f>B13/Assumptions!B31</f>
        <v>59.180662969509505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3815055425.637046</v>
      </c>
    </row>
    <row r="18" spans="1:2" x14ac:dyDescent="0.25">
      <c r="A18" t="s">
        <v>60</v>
      </c>
      <c r="B18" s="18">
        <f>B17*Assumptions!B13</f>
        <v>65909508447.29612</v>
      </c>
    </row>
    <row r="19" spans="1:2" x14ac:dyDescent="0.25">
      <c r="A19" t="s">
        <v>61</v>
      </c>
      <c r="B19" s="18">
        <f>B18/(1+Assumptions!B26)^(5-0.5*Assumptions!B32)</f>
        <v>39785626975.72589</v>
      </c>
    </row>
    <row r="20" spans="1:2" x14ac:dyDescent="0.25">
      <c r="A20" t="s">
        <v>62</v>
      </c>
      <c r="B20" s="18">
        <f>Forecast!B17+B19</f>
        <v>49038850036.59009</v>
      </c>
    </row>
    <row r="21" spans="1:2" x14ac:dyDescent="0.25">
      <c r="A21" t="s">
        <v>63</v>
      </c>
      <c r="B21" s="18">
        <f>-Assumptions!B30</f>
        <v>-9316000000</v>
      </c>
    </row>
    <row r="22" spans="1:2" x14ac:dyDescent="0.25">
      <c r="A22" t="s">
        <v>64</v>
      </c>
      <c r="B22" s="18">
        <f>B20+B21</f>
        <v>39722850036.59009</v>
      </c>
    </row>
    <row r="23" spans="1:2" x14ac:dyDescent="0.25">
      <c r="A23" s="19" t="s">
        <v>65</v>
      </c>
      <c r="B23" s="25">
        <f>B22/Assumptions!B31</f>
        <v>156.1856401169739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227.99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59.180662969509505</v>
      </c>
    </row>
    <row r="29" spans="1:2" x14ac:dyDescent="0.25">
      <c r="A29" s="19" t="s">
        <v>73</v>
      </c>
      <c r="B29" s="12">
        <f>B28/B26-1</f>
        <v>-0.7404243038312668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0.098706</v>
      </c>
      <c r="B5" s="31">
        <v>78.44574674894511</v>
      </c>
      <c r="C5" s="31">
        <v>80.68688507102146</v>
      </c>
      <c r="D5" s="31">
        <v>83.19998155443784</v>
      </c>
      <c r="E5" s="31">
        <v>86.0444105248732</v>
      </c>
      <c r="F5" s="31">
        <v>89.29818641276248</v>
      </c>
    </row>
    <row r="6" spans="1:6" x14ac:dyDescent="0.25">
      <c r="A6" s="30">
        <v>0.108706</v>
      </c>
      <c r="B6" s="31">
        <v>66.68746810928654</v>
      </c>
      <c r="C6" s="31">
        <v>68.15076406038261</v>
      </c>
      <c r="D6" s="31">
        <v>69.761732440742</v>
      </c>
      <c r="E6" s="31">
        <v>71.54851705692269</v>
      </c>
      <c r="F6" s="31">
        <v>73.54689849038779</v>
      </c>
    </row>
    <row r="7" spans="1:6" x14ac:dyDescent="0.25">
      <c r="A7" s="30">
        <v>0.118706</v>
      </c>
      <c r="B7" s="31">
        <v>57.19743365528084</v>
      </c>
      <c r="C7" s="31">
        <v>58.1498736108053</v>
      </c>
      <c r="D7" s="32">
        <v>59.180670089652</v>
      </c>
      <c r="E7" s="31">
        <v>60.303073016852316</v>
      </c>
      <c r="F7" s="31">
        <v>61.53349814187821</v>
      </c>
    </row>
    <row r="8" spans="1:6" x14ac:dyDescent="0.25">
      <c r="A8" s="30">
        <v>0.128706</v>
      </c>
      <c r="B8" s="31">
        <v>49.376996076849906</v>
      </c>
      <c r="C8" s="31">
        <v>49.98462302072288</v>
      </c>
      <c r="D8" s="31">
        <v>50.630627665057006</v>
      </c>
      <c r="E8" s="31">
        <v>51.3208421325897</v>
      </c>
      <c r="F8" s="31">
        <v>52.06234331645456</v>
      </c>
    </row>
    <row r="9" spans="1:6" x14ac:dyDescent="0.25">
      <c r="A9" s="30">
        <v>0.138706</v>
      </c>
      <c r="B9" s="31">
        <v>42.82109473870664</v>
      </c>
      <c r="C9" s="31">
        <v>43.19116106621768</v>
      </c>
      <c r="D9" s="31">
        <v>43.57605483808154</v>
      </c>
      <c r="E9" s="31">
        <v>43.97782204684042</v>
      </c>
      <c r="F9" s="31">
        <v>44.39890326057549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12269000000</v>
      </c>
      <c r="C5" s="18">
        <v>12614000000</v>
      </c>
      <c r="D5" s="18">
        <v>13276000000</v>
      </c>
      <c r="E5" s="18">
        <v>13205000000</v>
      </c>
      <c r="F5" s="8" t="s">
        <v>84</v>
      </c>
    </row>
    <row r="6" spans="1:6" x14ac:dyDescent="0.25">
      <c r="A6" t="s">
        <v>44</v>
      </c>
      <c r="B6" s="18">
        <v>3035000000</v>
      </c>
      <c r="C6" s="18">
        <v>3472000000</v>
      </c>
      <c r="D6" s="18">
        <v>3676000000</v>
      </c>
      <c r="E6" s="18">
        <v>3794000000</v>
      </c>
      <c r="F6" s="8" t="s">
        <v>85</v>
      </c>
    </row>
    <row r="7" spans="1:6" x14ac:dyDescent="0.25">
      <c r="A7" t="s">
        <v>86</v>
      </c>
      <c r="B7" s="18">
        <v>832000000</v>
      </c>
      <c r="C7" s="18">
        <v>925000000</v>
      </c>
      <c r="D7" s="18">
        <v>1106000000</v>
      </c>
      <c r="E7" s="18">
        <v>1250000000</v>
      </c>
      <c r="F7" s="8" t="s">
        <v>87</v>
      </c>
    </row>
    <row r="8" spans="1:6" x14ac:dyDescent="0.25">
      <c r="A8" t="s">
        <v>88</v>
      </c>
      <c r="B8" s="18">
        <v>537000000</v>
      </c>
      <c r="C8" s="18">
        <v>876000000</v>
      </c>
      <c r="D8" s="18">
        <v>1006000000</v>
      </c>
      <c r="E8" s="18">
        <v>1227000000</v>
      </c>
      <c r="F8" s="8" t="s">
        <v>89</v>
      </c>
    </row>
    <row r="9" spans="1:6" x14ac:dyDescent="0.25">
      <c r="A9" t="s">
        <v>90</v>
      </c>
      <c r="B9" s="18">
        <v>587000000</v>
      </c>
      <c r="C9" s="18">
        <v>911000000</v>
      </c>
      <c r="D9" s="18">
        <v>574000000</v>
      </c>
      <c r="E9" s="18">
        <v>348000000</v>
      </c>
      <c r="F9" s="8" t="s">
        <v>91</v>
      </c>
    </row>
    <row r="10" spans="1:6" x14ac:dyDescent="0.25">
      <c r="A10" t="s">
        <v>92</v>
      </c>
      <c r="B10" s="18">
        <v>12222000000</v>
      </c>
      <c r="C10" s="18">
        <v>10854000000</v>
      </c>
      <c r="D10" s="18">
        <v>11175000000</v>
      </c>
      <c r="E10" s="18">
        <v>11165000000</v>
      </c>
      <c r="F10" s="8" t="s">
        <v>93</v>
      </c>
    </row>
    <row r="11" spans="1:6" x14ac:dyDescent="0.25">
      <c r="A11" t="s">
        <v>94</v>
      </c>
      <c r="B11" s="18">
        <v>2906000000</v>
      </c>
      <c r="C11" s="18">
        <v>3031000000</v>
      </c>
      <c r="D11" s="18">
        <v>4057000000</v>
      </c>
      <c r="E11" s="18">
        <v>3618000000</v>
      </c>
      <c r="F11" s="8" t="s">
        <v>95</v>
      </c>
    </row>
    <row r="12" spans="1:6" x14ac:dyDescent="0.25">
      <c r="A12" t="s">
        <v>32</v>
      </c>
      <c r="B12" s="34">
        <v>254331000</v>
      </c>
      <c r="C12" s="34">
        <v>257848000</v>
      </c>
      <c r="D12" s="34">
        <v>261370000</v>
      </c>
      <c r="E12" s="34">
        <v>264053000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