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<sst xmlns="http://schemas.openxmlformats.org/spreadsheetml/2006/main" count="119" uniqueCount="106">
  <si>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NXP Semiconductors N.V. (NXPI)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</si>
  <si>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</si>
  <si>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</si>
  <si>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</si>
  <si>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</si>
  <si>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</si>
  <si>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</si>
  <si>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</si>
  <si>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</si>
  <si>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</si>
  <si>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</si>
  <si>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</si>
  <si>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</si>
  <si>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</si>
  <si>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</si>
  <si>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</si>
  <si>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</si>
  <si>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</si>
  <si>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</si>
  <si>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</si>
  <si>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</si>
  <si>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</si>
  <si>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</si>
  <si>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</si>
  <si>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+ 55bp, the spread for a AA rating at 6.5x interest cover. Book interest / average debt was lower, at 4.0%.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</si>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</sst>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0.16668778629065129</v>
      </c>
    </row>
    <row r="7" spans="1:2" x14ac:dyDescent="0.25">
      <c r="A7" t="s">
        <v>4</v>
      </c>
      <c r="B7" s="5">
        <v>0.2717067967453564</v>
      </c>
    </row>
    <row r="8" spans="1:2" x14ac:dyDescent="0.25">
      <c r="A8" t="s">
        <v>5</v>
      </c>
      <c r="B8" s="5">
        <v>0.16658160570343114</v>
      </c>
    </row>
    <row r="9" spans="1:2" x14ac:dyDescent="0.25">
      <c r="A9" t="s">
        <v>6</v>
      </c>
      <c r="B9" s="5">
        <v>0.07977843639320079</v>
      </c>
    </row>
    <row r="10" spans="1:3" x14ac:dyDescent="0.25">
      <c r="A10" t="s">
        <v>7</v>
      </c>
      <c r="B10" s="5">
        <v>0.07047766993170207</v>
      </c>
      <c r="C10" s="6" t="s">
        <v>8</v>
      </c>
    </row>
    <row r="11" spans="1:2" x14ac:dyDescent="0.25">
      <c r="A11" t="s">
        <v>9</v>
      </c>
      <c r="B11" s="5">
        <v>0.16418474420187557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19.330610776312387</v>
      </c>
    </row>
    <row r="14" spans="1:3" x14ac:dyDescent="0.25">
      <c r="A14" t="s">
        <v>12</v>
      </c>
      <c r="B14" s="5">
        <v>0.1494977640712756</v>
      </c>
      <c r="C14" s="6" t="s">
        <v>13</v>
      </c>
    </row>
    <row r="15" spans="1:3" x14ac:dyDescent="0.25">
      <c r="A15" t="s">
        <v>14</v>
      </c>
      <c r="B15" s="5">
        <v>0.04762878867325968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1.54337</v>
      </c>
      <c r="C19" s="6" t="s">
        <v>21</v>
      </c>
    </row>
    <row r="20" spans="1:2" x14ac:dyDescent="0.25">
      <c r="A20" t="s">
        <v>22</v>
      </c>
      <c r="B20" s="9">
        <f>B17+B19*B18</f>
        <v>0.11422455100000001</v>
      </c>
    </row>
    <row r="21" spans="1:3" x14ac:dyDescent="0.25">
      <c r="A21" t="s">
        <v>23</v>
      </c>
      <c r="B21" s="5">
        <v>0.05444</v>
      </c>
      <c r="C21" s="6" t="s">
        <v>24</v>
      </c>
    </row>
    <row r="22" spans="1:2" x14ac:dyDescent="0.25">
      <c r="A22" t="s">
        <v>25</v>
      </c>
      <c r="B22" s="10">
        <v>65435471872</v>
      </c>
    </row>
    <row r="23" spans="1:2" x14ac:dyDescent="0.25">
      <c r="A23" t="s">
        <v>26</v>
      </c>
      <c r="B23" s="10">
        <v>12222000000</v>
      </c>
    </row>
    <row r="24" spans="1:2" x14ac:dyDescent="0.25">
      <c r="A24" t="s">
        <v>27</v>
      </c>
      <c r="B24" s="9">
        <f>B22/(B22+B23)</f>
        <v>0.8426165608359608</v>
      </c>
    </row>
    <row r="25" spans="1:2" x14ac:dyDescent="0.25">
      <c r="A25" t="s">
        <v>28</v>
      </c>
      <c r="B25" s="9">
        <f>1-B24</f>
        <v>0.15738343916403918</v>
      </c>
    </row>
    <row r="26" spans="1:2" x14ac:dyDescent="0.25">
      <c r="A26" t="s">
        <v>29</v>
      </c>
      <c r="B26" s="11">
        <f>B24*B20+B25*B21*(1-B8)</f>
        <v>0.10338818914851701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12269000000</v>
      </c>
      <c r="C29" s="6" t="s">
        <v>32</v>
      </c>
    </row>
    <row r="30" spans="1:2" x14ac:dyDescent="0.25">
      <c r="A30" t="s">
        <v>33</v>
      </c>
      <c r="B30" s="10">
        <v>9316000000</v>
      </c>
    </row>
    <row r="31" spans="1:2" x14ac:dyDescent="0.25">
      <c r="A31" t="s">
        <v>34</v>
      </c>
      <c r="B31" s="12">
        <v>254331000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0.16668778629065129</v>
      </c>
      <c r="C5" s="5">
        <v>0.1194175876655037</v>
      </c>
      <c r="D5" s="5">
        <v>0.10761538920731574</v>
      </c>
      <c r="E5" s="5">
        <v>0.09581319074912778</v>
      </c>
      <c r="F5" s="5">
        <v>0.0840109922909398</v>
      </c>
      <c r="G5" s="5">
        <v>0.07220879383275185</v>
      </c>
      <c r="H5" s="5">
        <v>0.06040659537456389</v>
      </c>
      <c r="I5" s="5">
        <v>0.048604396916375914</v>
      </c>
      <c r="J5" s="5">
        <v>0.036802198458187954</v>
      </c>
      <c r="K5" s="5">
        <v>0.024999999999999994</v>
      </c>
    </row>
    <row r="6" spans="1:11" x14ac:dyDescent="0.25">
      <c r="A6" t="s">
        <v>50</v>
      </c>
      <c r="B6" s="18">
        <f>Assumptions!B29*(1+B5)</f>
        <v>14314092450</v>
      </c>
      <c r="C6" s="18">
        <f>B6*(1+C5)</f>
        <v>16023446840</v>
      </c>
      <c r="D6" s="18">
        <f>C6*(1+D5)</f>
        <v>17747816308.129333</v>
      </c>
      <c r="E6" s="18">
        <f>D6*(1+E5)</f>
        <v>19448291217.44061</v>
      </c>
      <c r="F6" s="18">
        <f>E6*(1+F5)</f>
        <v>21082161460.980965</v>
      </c>
      <c r="G6" s="18">
        <f>F6*(1+G5)</f>
        <v>22604478911.465725</v>
      </c>
      <c r="H6" s="18">
        <f>G6*(1+H5)</f>
        <v>23969938522.723495</v>
      </c>
      <c r="I6" s="18">
        <f>H6*(1+I5)</f>
        <v>25134982928.743076</v>
      </c>
      <c r="J6" s="18">
        <f>I6*(1+J5)</f>
        <v>26060005558.729843</v>
      </c>
      <c r="K6" s="18">
        <f>J6*(1+K5)</f>
        <v>26711505697.698086</v>
      </c>
    </row>
    <row r="7" spans="1:11" x14ac:dyDescent="0.25">
      <c r="A7" t="s">
        <v>4</v>
      </c>
      <c r="B7" s="9">
        <f>Assumptions!B7</f>
        <v>0.2717067967453564</v>
      </c>
      <c r="C7" s="9">
        <f>Assumptions!B7</f>
        <v>0.2717067967453564</v>
      </c>
      <c r="D7" s="9">
        <f>Assumptions!B7</f>
        <v>0.2717067967453564</v>
      </c>
      <c r="E7" s="9">
        <f>Assumptions!B7</f>
        <v>0.2717067967453564</v>
      </c>
      <c r="F7" s="9">
        <f>Assumptions!B7</f>
        <v>0.2717067967453564</v>
      </c>
      <c r="G7" s="9">
        <f>Assumptions!B7</f>
        <v>0.2717067967453564</v>
      </c>
      <c r="H7" s="9">
        <f>Assumptions!B7</f>
        <v>0.2717067967453564</v>
      </c>
      <c r="I7" s="9">
        <f>Assumptions!B7</f>
        <v>0.2717067967453564</v>
      </c>
      <c r="J7" s="9">
        <f>Assumptions!B7</f>
        <v>0.2717067967453564</v>
      </c>
      <c r="K7" s="9">
        <f>Assumptions!B7</f>
        <v>0.2717067967453564</v>
      </c>
    </row>
    <row r="8" spans="1:11" x14ac:dyDescent="0.25">
      <c r="A8" t="s">
        <v>51</v>
      </c>
      <c r="B8" s="18">
        <f>B6*B7</f>
        <v>3889236207.9063907</v>
      </c>
      <c r="C8" s="18">
        <f>C6*C7</f>
        <v>4353679413.715903</v>
      </c>
      <c r="D8" s="18">
        <f>D6*D7</f>
        <v>4822202318.306819</v>
      </c>
      <c r="E8" s="18">
        <f>E6*E7</f>
        <v>5284232908.861636</v>
      </c>
      <c r="F8" s="18">
        <f>F6*F7</f>
        <v>5728166559.031541</v>
      </c>
      <c r="G8" s="18">
        <f>G6*G7</f>
        <v>6141790557.132313</v>
      </c>
      <c r="H8" s="18">
        <f>H6*H7</f>
        <v>6512795214.192322</v>
      </c>
      <c r="I8" s="18">
        <f>I6*I7</f>
        <v>6829345697.817998</v>
      </c>
      <c r="J8" s="18">
        <f>J6*J7</f>
        <v>7080680633.528667</v>
      </c>
      <c r="K8" s="18">
        <f>K6*K7</f>
        <v>7257697649.366883</v>
      </c>
    </row>
    <row r="9" spans="1:11" x14ac:dyDescent="0.25">
      <c r="A9" t="s">
        <v>52</v>
      </c>
      <c r="B9" s="18">
        <f>B8*(1-Assumptions!B8)</f>
        <v>3241360995.4334207</v>
      </c>
      <c r="C9" s="18">
        <f>C8*(1-Assumptions!B8)</f>
        <v>3628436506.261135</v>
      </c>
      <c r="D9" s="18">
        <f>D8*(1-Assumptions!B8)</f>
        <v>4018912113.096461</v>
      </c>
      <c r="E9" s="18">
        <f>E8*(1-Assumptions!B8)</f>
        <v>4403976905.992552</v>
      </c>
      <c r="F9" s="18">
        <f>F8*(1-Assumptions!B8)</f>
        <v>4773959375.891369</v>
      </c>
      <c r="G9" s="18">
        <f>G8*(1-Assumptions!B8)</f>
        <v>5118681224.231041</v>
      </c>
      <c r="H9" s="18">
        <f>H8*(1-Assumptions!B8)</f>
        <v>5427883329.794543</v>
      </c>
      <c r="I9" s="18">
        <f>I8*(1-Assumptions!B8)</f>
        <v>5691702325.571656</v>
      </c>
      <c r="J9" s="18">
        <f>J8*(1-Assumptions!B8)</f>
        <v>5901169484.122273</v>
      </c>
      <c r="K9" s="18">
        <f>K8*(1-Assumptions!B8)</f>
        <v>6048698721.22533</v>
      </c>
    </row>
    <row r="10" spans="1:11" x14ac:dyDescent="0.25">
      <c r="A10" t="s">
        <v>53</v>
      </c>
      <c r="B10" s="18">
        <f>B6*Assumptions!B9</f>
        <v>1141955914.0487206</v>
      </c>
      <c r="C10" s="18">
        <f>C6*Assumptions!B9</f>
        <v>1278325534.524774</v>
      </c>
      <c r="D10" s="18">
        <f>D6*Assumptions!B9</f>
        <v>1415893034.4563076</v>
      </c>
      <c r="E10" s="18">
        <f>E6*Assumptions!B9</f>
        <v>1551554263.847031</v>
      </c>
      <c r="F10" s="18">
        <f>F6*Assumptions!B9</f>
        <v>1681901877.1460588</v>
      </c>
      <c r="G10" s="18">
        <f>G6*Assumptions!B9</f>
        <v>1803349983.0398169</v>
      </c>
      <c r="H10" s="18">
        <f>H6*Assumptions!B9</f>
        <v>1912284215.7840295</v>
      </c>
      <c r="I10" s="18">
        <f>I6*Assumptions!B9</f>
        <v>2005229636.824917</v>
      </c>
      <c r="J10" s="18">
        <f>J6*Assumptions!B9</f>
        <v>2079026495.8735876</v>
      </c>
      <c r="K10" s="18">
        <f>K6*Assumptions!B9</f>
        <v>2131002158.2704272</v>
      </c>
    </row>
    <row r="11" spans="1:11" x14ac:dyDescent="0.25">
      <c r="A11" t="s">
        <v>54</v>
      </c>
      <c r="B11" s="18">
        <f>-B6*B19</f>
        <v>-1008823883.0629686</v>
      </c>
      <c r="C11" s="18">
        <f>-C6*C19</f>
        <v>-1164011780.770236</v>
      </c>
      <c r="D11" s="18">
        <f>-D6*D19</f>
        <v>-1327729983.4266326</v>
      </c>
      <c r="E11" s="18">
        <f>-E6*E19</f>
        <v>-1497080919.8088374</v>
      </c>
      <c r="F11" s="18">
        <f>-F6*F19</f>
        <v>-1668529025.5977924</v>
      </c>
      <c r="G11" s="18">
        <f>-G6*G19</f>
        <v>-1837986616.5888314</v>
      </c>
      <c r="H11" s="18">
        <f>-H6*H19</f>
        <v>-2000946673.4316325</v>
      </c>
      <c r="I11" s="18">
        <f>-I6*I19</f>
        <v>-2152659221.283053</v>
      </c>
      <c r="J11" s="18">
        <f>-J6*J19</f>
        <v>-2288343719.296285</v>
      </c>
      <c r="K11" s="18">
        <f>-K6*K19</f>
        <v>-2403425766.0708857</v>
      </c>
    </row>
    <row r="12" spans="1:11" x14ac:dyDescent="0.25">
      <c r="A12" t="s">
        <v>55</v>
      </c>
      <c r="B12" s="18">
        <f>-(B6-Assumptions!B29)*Assumptions!B11</f>
        <v>-335772980.772437</v>
      </c>
      <c r="C12" s="18">
        <f>-(C6-B6)*Assumptions!B11</f>
        <v>-280649913.272503</v>
      </c>
      <c r="D12" s="18">
        <f>-(D6-C6)*Assumptions!B11</f>
        <v>-283115160.03433883</v>
      </c>
      <c r="E12" s="18">
        <f>-(E6-D6)*Assumptions!B11</f>
        <v>-279192038.0069793</v>
      </c>
      <c r="F12" s="18">
        <f>-(F6-E6)*Assumptions!B11</f>
        <v>-268256567.99472943</v>
      </c>
      <c r="G12" s="18">
        <f>-(G6-F6)*Assumptions!B11</f>
        <v>-249941301.20189175</v>
      </c>
      <c r="H12" s="18">
        <f>-(H6-G6)*Assumptions!B11</f>
        <v>-224187636.9923495</v>
      </c>
      <c r="I12" s="18">
        <f>-(I6-H6)*Assumptions!B11</f>
        <v>-191282517.78615093</v>
      </c>
      <c r="J12" s="18">
        <f>-(J6-I6)*Assumptions!B11</f>
        <v>-151874603.8853235</v>
      </c>
      <c r="K12" s="18">
        <f>-(K6-J6)*Assumptions!B11</f>
        <v>-106966383.66398731</v>
      </c>
    </row>
    <row r="13" spans="1:11" x14ac:dyDescent="0.25">
      <c r="A13" s="19" t="s">
        <v>56</v>
      </c>
      <c r="B13" s="20">
        <f>B9+B10+B11+B12</f>
        <v>3038720045.6467357</v>
      </c>
      <c r="C13" s="20">
        <f>C9+C10+C11+C12</f>
        <v>3462100346.7431707</v>
      </c>
      <c r="D13" s="20">
        <f>D9+D10+D11+D12</f>
        <v>3823960004.091797</v>
      </c>
      <c r="E13" s="20">
        <f>E9+E10+E11+E12</f>
        <v>4179258212.023765</v>
      </c>
      <c r="F13" s="20">
        <f>F9+F10+F11+F12</f>
        <v>4519075659.444906</v>
      </c>
      <c r="G13" s="20">
        <f>G9+G10+G11+G12</f>
        <v>4834103289.480134</v>
      </c>
      <c r="H13" s="20">
        <f>H9+H10+H11+H12</f>
        <v>5115033235.154591</v>
      </c>
      <c r="I13" s="20">
        <f>I9+I10+I11+I12</f>
        <v>5352990223.327369</v>
      </c>
      <c r="J13" s="20">
        <f>J9+J10+J11+J12</f>
        <v>5539977656.814252</v>
      </c>
      <c r="K13" s="20">
        <f>K9+K10+K11+K12</f>
        <v>5669308729.760885</v>
      </c>
    </row>
    <row r="14" spans="1:11" x14ac:dyDescent="0.25">
      <c r="A14" t="s">
        <v>57</v>
      </c>
      <c r="B14" s="21">
        <f>1/(1+Assumptions!$B$26)^(1-0.5*Assumptions!$B$32)</f>
        <v>0.9519975584254373</v>
      </c>
      <c r="C14" s="21">
        <f>1/(1+Assumptions!$B$26)^(2-0.5*Assumptions!$B$32)</f>
        <v>0.8627947695906482</v>
      </c>
      <c r="D14" s="21">
        <f>1/(1+Assumptions!$B$26)^(3-0.5*Assumptions!$B$32)</f>
        <v>0.7819503399401669</v>
      </c>
      <c r="E14" s="21">
        <f>1/(1+Assumptions!$B$26)^(4-0.5*Assumptions!$B$32)</f>
        <v>0.7086810857959217</v>
      </c>
      <c r="F14" s="21">
        <f>1/(1+Assumptions!$B$26)^(5-0.5*Assumptions!$B$32)</f>
        <v>0.6422772082985679</v>
      </c>
      <c r="G14" s="21">
        <f>1/(1+Assumptions!$B$26)^(6-0.5*Assumptions!$B$32)</f>
        <v>0.5820954172023648</v>
      </c>
      <c r="H14" s="21">
        <f>1/(1+Assumptions!$B$26)^(7-0.5*Assumptions!$B$32)</f>
        <v>0.5275526989749336</v>
      </c>
      <c r="I14" s="21">
        <f>1/(1+Assumptions!$B$26)^(8-0.5*Assumptions!$B$32)</f>
        <v>0.4781206688301106</v>
      </c>
      <c r="J14" s="21">
        <f>1/(1+Assumptions!$B$26)^(9-0.5*Assumptions!$B$32)</f>
        <v>0.43332045197898633</v>
      </c>
      <c r="K14" s="21">
        <f>1/(1+Assumptions!$B$26)^(10-0.5*Assumptions!$B$32)</f>
        <v>0.39271804451104286</v>
      </c>
    </row>
    <row r="15" spans="1:11" x14ac:dyDescent="0.25">
      <c r="A15" s="19" t="s">
        <v>58</v>
      </c>
      <c r="B15" s="20">
        <f>B13*B14</f>
        <v>2892854064.1941257</v>
      </c>
      <c r="C15" s="20">
        <f>C13*C14</f>
        <v>2987082070.967977</v>
      </c>
      <c r="D15" s="20">
        <f>D13*D14</f>
        <v>2990146825.1171827</v>
      </c>
      <c r="E15" s="20">
        <f>E13*E14</f>
        <v>2961761247.518524</v>
      </c>
      <c r="F15" s="20">
        <f>F13*F14</f>
        <v>2902499298.638284</v>
      </c>
      <c r="G15" s="20">
        <f>G13*G14</f>
        <v>2813909371.0892625</v>
      </c>
      <c r="H15" s="20">
        <f>H13*H14</f>
        <v>2698449588.5522904</v>
      </c>
      <c r="I15" s="20">
        <f>I13*I14</f>
        <v>2559375265.8183246</v>
      </c>
      <c r="J15" s="20">
        <f>J13*J14</f>
        <v>2400585622.2042375</v>
      </c>
      <c r="K15" s="20">
        <f>K13*K14</f>
        <v>2226439838.081079</v>
      </c>
    </row>
    <row r="17" spans="1:2" x14ac:dyDescent="0.25">
      <c r="A17" s="22" t="s">
        <v>59</v>
      </c>
      <c r="B17" s="23">
        <f>SUM(B15:K15)</f>
        <v>27433103192.18129</v>
      </c>
    </row>
    <row r="19" spans="1:11" x14ac:dyDescent="0.25">
      <c r="A19" t="s">
        <v>7</v>
      </c>
      <c r="B19" s="9">
        <f>Assumptions!$B$10+($B$20-Assumptions!$B$10)*0/9</f>
        <v>0.07047766993170207</v>
      </c>
      <c r="C19" s="9">
        <f>Assumptions!$B$10+($B$20-Assumptions!$B$10)*1/9</f>
        <v>0.07264428137050168</v>
      </c>
      <c r="D19" s="9">
        <f>Assumptions!$B$10+($B$20-Assumptions!$B$10)*2/9</f>
        <v>0.07481089280930127</v>
      </c>
      <c r="E19" s="9">
        <f>Assumptions!$B$10+($B$20-Assumptions!$B$10)*3/9</f>
        <v>0.07697750424810088</v>
      </c>
      <c r="F19" s="9">
        <f>Assumptions!$B$10+($B$20-Assumptions!$B$10)*4/9</f>
        <v>0.07914411568690048</v>
      </c>
      <c r="G19" s="9">
        <f>Assumptions!$B$10+($B$20-Assumptions!$B$10)*5/9</f>
        <v>0.08131072712570007</v>
      </c>
      <c r="H19" s="9">
        <f>Assumptions!$B$10+($B$20-Assumptions!$B$10)*6/9</f>
        <v>0.08347733856449968</v>
      </c>
      <c r="I19" s="9">
        <f>Assumptions!$B$10+($B$20-Assumptions!$B$10)*7/9</f>
        <v>0.08564395000329929</v>
      </c>
      <c r="J19" s="9">
        <f>Assumptions!$B$10+($B$20-Assumptions!$B$10)*8/9</f>
        <v>0.08781056144209888</v>
      </c>
      <c r="K19" s="9">
        <f>Assumptions!$B$10+($B$20-Assumptions!$B$10)*9/9</f>
        <v>0.08997717288089849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0.08997717288089849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5669308729.760885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6764409683.8543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0.16722658131583043</v>
      </c>
    </row>
    <row r="7" spans="1:2" x14ac:dyDescent="0.25">
      <c r="A7" t="s">
        <v>66</v>
      </c>
      <c r="B7" s="18">
        <f>-MAX(B5,0)*B6</f>
        <v>-1131189106.0506518</v>
      </c>
    </row>
    <row r="8" spans="1:2" x14ac:dyDescent="0.25">
      <c r="A8" t="s">
        <v>67</v>
      </c>
      <c r="B8" s="18">
        <f>IF(OR(Assumptions!$B$33=0,Assumptions!B12&lt;=0),B5,MAX(B5+B7,0))</f>
        <v>5633220577.803648</v>
      </c>
    </row>
    <row r="9" spans="1:2" x14ac:dyDescent="0.25">
      <c r="A9" t="s">
        <v>68</v>
      </c>
      <c r="B9" s="18">
        <f>B8*(1+Assumptions!B12)/(Assumptions!B26-Assumptions!B12)</f>
        <v>73659707603.51434</v>
      </c>
    </row>
    <row r="10" spans="1:2" x14ac:dyDescent="0.25">
      <c r="A10" t="s">
        <v>69</v>
      </c>
      <c r="B10" s="18">
        <f>B9/(1+Assumptions!B26)^(10-0.5*Assumptions!B32)</f>
        <v>28927496329.30735</v>
      </c>
    </row>
    <row r="11" spans="1:2" x14ac:dyDescent="0.25">
      <c r="A11" t="s">
        <v>70</v>
      </c>
      <c r="B11" s="18">
        <f>Forecast!B17+B10</f>
        <v>56360599521.48864</v>
      </c>
    </row>
    <row r="12" spans="1:2" x14ac:dyDescent="0.25">
      <c r="A12" t="s">
        <v>71</v>
      </c>
      <c r="B12" s="18">
        <f>-Assumptions!B30</f>
        <v>-9316000000</v>
      </c>
    </row>
    <row r="13" spans="1:2" x14ac:dyDescent="0.25">
      <c r="A13" t="s">
        <v>72</v>
      </c>
      <c r="B13" s="18">
        <f>B11+B12</f>
        <v>47044599521.48864</v>
      </c>
    </row>
    <row r="14" spans="1:2" x14ac:dyDescent="0.25">
      <c r="A14" s="19" t="s">
        <v>73</v>
      </c>
      <c r="B14" s="24">
        <f>B13/Assumptions!B31</f>
        <v>184.9739100679376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9388699807.63731</v>
      </c>
    </row>
    <row r="18" spans="1:2" x14ac:dyDescent="0.25">
      <c r="A18" t="s">
        <v>68</v>
      </c>
      <c r="B18" s="18">
        <f>B17*Assumptions!B13</f>
        <v>181489301677.0758</v>
      </c>
    </row>
    <row r="19" spans="1:2" x14ac:dyDescent="0.25">
      <c r="A19" t="s">
        <v>69</v>
      </c>
      <c r="B19" s="18">
        <f>B18/(1+Assumptions!B26)^(10-0.5*Assumptions!B32)</f>
        <v>71274123654.29594</v>
      </c>
    </row>
    <row r="20" spans="1:2" x14ac:dyDescent="0.25">
      <c r="A20" t="s">
        <v>70</v>
      </c>
      <c r="B20" s="18">
        <f>Forecast!B17+B19</f>
        <v>98707226846.47723</v>
      </c>
    </row>
    <row r="21" spans="1:2" x14ac:dyDescent="0.25">
      <c r="A21" t="s">
        <v>71</v>
      </c>
      <c r="B21" s="18">
        <f>-Assumptions!B30</f>
        <v>-9316000000</v>
      </c>
    </row>
    <row r="22" spans="1:2" x14ac:dyDescent="0.25">
      <c r="A22" t="s">
        <v>72</v>
      </c>
      <c r="B22" s="18">
        <f>B20+B21</f>
        <v>89391226846.47723</v>
      </c>
    </row>
    <row r="23" spans="1:2" x14ac:dyDescent="0.25">
      <c r="A23" s="19" t="s">
        <v>73</v>
      </c>
      <c r="B23" s="25">
        <f>B22/Assumptions!B31</f>
        <v>351.47593823197815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259.61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184.9739100679376</v>
      </c>
    </row>
    <row r="29" spans="1:2" x14ac:dyDescent="0.25">
      <c r="A29" s="19" t="s">
        <v>81</v>
      </c>
      <c r="B29" s="11">
        <f>B28/B26-1</f>
        <v>-0.2874931240401464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0.083388</v>
      </c>
      <c r="B5" s="31">
        <v>251.72252250028527</v>
      </c>
      <c r="C5" s="31">
        <v>256.71599142860714</v>
      </c>
      <c r="D5" s="31">
        <v>262.8855943140183</v>
      </c>
      <c r="E5" s="31">
        <v>270.5617801217609</v>
      </c>
      <c r="F5" s="31">
        <v>280.21158083982704</v>
      </c>
    </row>
    <row r="6" spans="1:6" x14ac:dyDescent="0.25">
      <c r="A6" s="30">
        <v>0.093388</v>
      </c>
      <c r="B6" s="31">
        <v>213.02443997319006</v>
      </c>
      <c r="C6" s="31">
        <v>215.31461985325643</v>
      </c>
      <c r="D6" s="31">
        <v>218.1987748303486</v>
      </c>
      <c r="E6" s="31">
        <v>221.8174618940452</v>
      </c>
      <c r="F6" s="31">
        <v>226.35938388224193</v>
      </c>
    </row>
    <row r="7" spans="1:6" x14ac:dyDescent="0.25">
      <c r="A7" s="30">
        <v>0.103388</v>
      </c>
      <c r="B7" s="31">
        <v>183.19797784317672</v>
      </c>
      <c r="C7" s="31">
        <v>183.93240511225082</v>
      </c>
      <c r="D7" s="32">
        <v>184.97445777498535</v>
      </c>
      <c r="E7" s="31">
        <v>186.38701233578035</v>
      </c>
      <c r="F7" s="31">
        <v>188.25133346783736</v>
      </c>
    </row>
    <row r="8" spans="1:6" x14ac:dyDescent="0.25">
      <c r="A8" s="30">
        <v>0.113388</v>
      </c>
      <c r="B8" s="31">
        <v>159.53119543848683</v>
      </c>
      <c r="C8" s="31">
        <v>159.3457474537105</v>
      </c>
      <c r="D8" s="31">
        <v>159.31903293146019</v>
      </c>
      <c r="E8" s="31">
        <v>159.47960516403094</v>
      </c>
      <c r="F8" s="31">
        <v>159.86330256192326</v>
      </c>
    </row>
    <row r="9" spans="1:6" x14ac:dyDescent="0.25">
      <c r="A9" s="30">
        <v>0.123388</v>
      </c>
      <c r="B9" s="31">
        <v>140.31345710069974</v>
      </c>
      <c r="C9" s="31">
        <v>139.57856579991534</v>
      </c>
      <c r="D9" s="31">
        <v>138.92203049872032</v>
      </c>
      <c r="E9" s="31">
        <v>138.35643675407968</v>
      </c>
      <c r="F9" s="31">
        <v>137.89721792061528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12269000000</v>
      </c>
      <c r="C5" s="18">
        <v>12614000000</v>
      </c>
      <c r="D5" s="18">
        <v>13276000000</v>
      </c>
      <c r="E5" s="18">
        <v>13205000000</v>
      </c>
      <c r="F5" s="6" t="s">
        <v>91</v>
      </c>
    </row>
    <row r="6" spans="1:6" x14ac:dyDescent="0.25">
      <c r="A6" t="s">
        <v>51</v>
      </c>
      <c r="B6" s="18">
        <v>3035000000</v>
      </c>
      <c r="C6" s="18">
        <v>3472000000</v>
      </c>
      <c r="D6" s="18">
        <v>3676000000</v>
      </c>
      <c r="E6" s="18">
        <v>3794000000</v>
      </c>
      <c r="F6" s="6" t="s">
        <v>92</v>
      </c>
    </row>
    <row r="7" spans="1:6" x14ac:dyDescent="0.25">
      <c r="A7" t="s">
        <v>93</v>
      </c>
      <c r="B7" s="18">
        <v>832000000</v>
      </c>
      <c r="C7" s="18">
        <v>925000000</v>
      </c>
      <c r="D7" s="18">
        <v>1106000000</v>
      </c>
      <c r="E7" s="18">
        <v>1250000000</v>
      </c>
      <c r="F7" s="6" t="s">
        <v>94</v>
      </c>
    </row>
    <row r="8" spans="1:6" x14ac:dyDescent="0.25">
      <c r="A8" t="s">
        <v>95</v>
      </c>
      <c r="B8" s="18">
        <v>537000000</v>
      </c>
      <c r="C8" s="18">
        <v>876000000</v>
      </c>
      <c r="D8" s="18">
        <v>1006000000</v>
      </c>
      <c r="E8" s="18">
        <v>1227000000</v>
      </c>
      <c r="F8" s="6" t="s">
        <v>96</v>
      </c>
    </row>
    <row r="9" spans="1:6" x14ac:dyDescent="0.25">
      <c r="A9" t="s">
        <v>97</v>
      </c>
      <c r="B9" s="18">
        <v>587000000</v>
      </c>
      <c r="C9" s="18">
        <v>911000000</v>
      </c>
      <c r="D9" s="18">
        <v>574000000</v>
      </c>
      <c r="E9" s="18">
        <v>348000000</v>
      </c>
      <c r="F9" s="6" t="s">
        <v>98</v>
      </c>
    </row>
    <row r="10" spans="1:6" x14ac:dyDescent="0.25">
      <c r="A10" t="s">
        <v>99</v>
      </c>
      <c r="B10" s="18">
        <v>12222000000</v>
      </c>
      <c r="C10" s="18">
        <v>10854000000</v>
      </c>
      <c r="D10" s="18">
        <v>11175000000</v>
      </c>
      <c r="E10" s="18">
        <v>11165000000</v>
      </c>
      <c r="F10" s="6" t="s">
        <v>100</v>
      </c>
    </row>
    <row r="11" spans="1:6" x14ac:dyDescent="0.25">
      <c r="A11" t="s">
        <v>101</v>
      </c>
      <c r="B11" s="18">
        <v>2906000000</v>
      </c>
      <c r="C11" s="18">
        <v>3031000000</v>
      </c>
      <c r="D11" s="18">
        <v>4057000000</v>
      </c>
      <c r="E11" s="18">
        <v>3618000000</v>
      </c>
      <c r="F11" s="6" t="s">
        <v>102</v>
      </c>
    </row>
    <row r="12" spans="1:6" x14ac:dyDescent="0.25">
      <c r="A12" t="s">
        <v>34</v>
      </c>
      <c r="B12" s="34">
        <v>254331000</v>
      </c>
      <c r="C12" s="34">
        <v>257848000</v>
      </c>
      <c r="D12" s="34">
        <v>261370000</v>
      </c>
      <c r="E12" s="34">
        <v>264053000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