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<sst xmlns="http://schemas.openxmlformats.org/spreadsheetml/2006/main" count="123" uniqueCount="110">
  <si>
    <t>NEXTDC Limited (NXT.AX)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</si>
  <si>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</si>
  <si>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</si>
  <si>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</si>
  <si>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</si>
  <si>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</si>
  <si>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</si>
  <si>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</si>
  <si>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</si>
  <si>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</si>
  <si>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</si>
  <si>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</si>
  <si>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</si>
  <si>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</si>
  <si>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</si>
  <si>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</si>
  <si>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</si>
  <si>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</si>
  <si>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Australian Government 10-year (RBA F2), 2026-10-28</t>
  </si>
  <si>
    <t>Equity risk premium</t>
  </si>
  <si>
    <t>Beta</t>
  </si>
  <si>
    <t>As reported</t>
  </si>
  <si>
    <t>Cost of equity</t>
  </si>
  <si>
    <t>Cost of debt</t>
  </si>
  <si>
    <t>Risk-free + 200bp, the spread for a D rating at -0.5x interest cover, capped at 200bp because one year's cover is too noisy to charge more. Book interest / average debt was lower, at 3.3%.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</si>
  <si>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</si>
  <si>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</si>
  <si>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</si>
  <si>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</si>
  <si>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</si>
  <si>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</si>
  <si>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</si>
  <si>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</si>
  <si>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</si>
  <si>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</si>
  <si>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</si>
  <si>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</si>
  <si>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</si>
  <si>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</si>
  <si>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</si>
  <si>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</si>
  <si>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</si>
  <si>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</si>
  <si>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</si>
  <si>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</si>
  <si>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</si>
  <si>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</si>
  <si>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</si>
  <si>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</si>
  <si>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</si>
  <si>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</si>
  <si>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</si>
  <si>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</si>
  <si>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</si>
  <si>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</si>
  <si>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</si>
  <si>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</si>
  <si>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</si>
  <si>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</si>
  <si>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</si>
  <si>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</si>
  <si>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(AUD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</si>
  <si>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</si>
  <si>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</si>
  <si>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</si>
  <si>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</si>
  <si>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</si>
  <si>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</si>
  <si>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</si>
  <si>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</si>
  <si>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</si>
  <si>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</si>
  <si>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</si>
  <si>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</si>
  <si>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</si>
  <si>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</si>
  <si>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</si>
  <si>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</si>
  <si>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</si>
  <si>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</si>
  <si>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</si>
  <si>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</si>
  <si>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</si>
  <si>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</si>
  <si>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</si>
  <si>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</si>
  <si>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</si>
  <si>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</si>
  <si>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</si>
  <si>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</si>
  <si>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</si>
  <si>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</si>
  <si>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</si>
  <si>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</si>
  <si>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</si>
  <si>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</si>
  <si>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</si>
  <si>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</si>
  <si>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</si>
  <si>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</si>
  <si>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</si>
  <si>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</si>
  <si>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</si>
  <si>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</si>
  <si>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</si>
  <si>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</si>
  <si>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</si>
  <si>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306.3% of revenue against depreciation of 45.3%.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</si>
  <si>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30.7x sits outside a defensible 3-20x band, so the exit multiple is capped at 20.0x. A multiple that far out usually means EBITDA is the wrong denominator for this business.</t>
  </si>
  <si>
    <t>Data: Yahoo Finance. Risk-free rate: Australian Government 10-year (RBA F2), 2026-10-28.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</si>
</sst>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0.19754690911434625</v>
      </c>
    </row>
    <row r="7" spans="1:2" x14ac:dyDescent="0.25">
      <c r="A7" t="s">
        <v>4</v>
      </c>
      <c r="B7" s="5">
        <v>0.031680671091475404</v>
      </c>
    </row>
    <row r="8" spans="1:2" x14ac:dyDescent="0.25">
      <c r="A8" t="s">
        <v>5</v>
      </c>
      <c r="B8" s="5">
        <v>0.3</v>
      </c>
    </row>
    <row r="9" spans="1:2" x14ac:dyDescent="0.25">
      <c r="A9" t="s">
        <v>6</v>
      </c>
      <c r="B9" s="5">
        <v>0.4529436071887822</v>
      </c>
    </row>
    <row r="10" spans="1:3" x14ac:dyDescent="0.25">
      <c r="A10" t="s">
        <v>7</v>
      </c>
      <c r="B10" s="5">
        <v>3.0625070377740444</v>
      </c>
      <c r="C10" s="6" t="s">
        <v>8</v>
      </c>
    </row>
    <row r="11" spans="1:2" x14ac:dyDescent="0.25">
      <c r="A11" t="s">
        <v>9</v>
      </c>
      <c r="B11" s="5">
        <v>-0.021708662557844417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0.07958307415248017</v>
      </c>
      <c r="C14" s="6" t="s">
        <v>13</v>
      </c>
    </row>
    <row r="15" spans="1:3" x14ac:dyDescent="0.25">
      <c r="A15" t="s">
        <v>14</v>
      </c>
      <c r="B15" s="5">
        <v>0.4529436071887822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0.05208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1.16817</v>
      </c>
      <c r="C19" s="6" t="s">
        <v>21</v>
      </c>
    </row>
    <row r="20" spans="1:2" x14ac:dyDescent="0.25">
      <c r="A20" t="s">
        <v>22</v>
      </c>
      <c r="B20" s="9">
        <f>B17+B19*B18</f>
        <v>0.101493591</v>
      </c>
    </row>
    <row r="21" spans="1:3" x14ac:dyDescent="0.25">
      <c r="A21" t="s">
        <v>23</v>
      </c>
      <c r="B21" s="5">
        <v>0.07208</v>
      </c>
      <c r="C21" s="6" t="s">
        <v>24</v>
      </c>
    </row>
    <row r="22" spans="1:2" x14ac:dyDescent="0.25">
      <c r="A22" t="s">
        <v>25</v>
      </c>
      <c r="B22" s="10">
        <v>4464807936</v>
      </c>
    </row>
    <row r="23" spans="1:2" x14ac:dyDescent="0.25">
      <c r="A23" t="s">
        <v>26</v>
      </c>
      <c r="B23" s="10">
        <v>3358602000</v>
      </c>
    </row>
    <row r="24" spans="1:2" x14ac:dyDescent="0.25">
      <c r="A24" t="s">
        <v>27</v>
      </c>
      <c r="B24" s="9">
        <f>B22/(B22+B23)</f>
        <v>0.5706984515095976</v>
      </c>
    </row>
    <row r="25" spans="1:2" x14ac:dyDescent="0.25">
      <c r="A25" t="s">
        <v>28</v>
      </c>
      <c r="B25" s="9">
        <f>1-B24</f>
        <v>0.42930154849040236</v>
      </c>
    </row>
    <row r="26" spans="1:2" x14ac:dyDescent="0.25">
      <c r="A26" t="s">
        <v>29</v>
      </c>
      <c r="B26" s="11">
        <f>B24*B20+B25*B21*(1-B8)</f>
        <v>0.07958307415248017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496492000</v>
      </c>
      <c r="C29" s="6" t="s">
        <v>32</v>
      </c>
    </row>
    <row r="30" spans="1:2" x14ac:dyDescent="0.25">
      <c r="A30" t="s">
        <v>33</v>
      </c>
      <c r="B30" s="10">
        <v>2482624000</v>
      </c>
    </row>
    <row r="31" spans="1:2" x14ac:dyDescent="0.25">
      <c r="A31" t="s">
        <v>34</v>
      </c>
      <c r="B31" s="12">
        <v>672647541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0.19754690911434625</v>
      </c>
      <c r="C5" s="5">
        <v>0.5</v>
      </c>
      <c r="D5" s="5">
        <v>0.440625</v>
      </c>
      <c r="E5" s="5">
        <v>0.38125</v>
      </c>
      <c r="F5" s="5">
        <v>0.321875</v>
      </c>
      <c r="G5" s="5">
        <v>0.2625</v>
      </c>
      <c r="H5" s="5">
        <v>0.203125</v>
      </c>
      <c r="I5" s="5">
        <v>0.14375000000000004</v>
      </c>
      <c r="J5" s="5">
        <v>0.08437500000000003</v>
      </c>
      <c r="K5" s="5">
        <v>0.025000000000000022</v>
      </c>
    </row>
    <row r="6" spans="1:11" x14ac:dyDescent="0.25">
      <c r="A6" t="s">
        <v>50</v>
      </c>
      <c r="B6" s="18">
        <f>Assumptions!B29*(1+B5)</f>
        <v>594572460</v>
      </c>
      <c r="C6" s="18">
        <f>B6*(1+C5)</f>
        <v>891858690</v>
      </c>
      <c r="D6" s="18">
        <f>C6*(1+D5)</f>
        <v>1284833925.28125</v>
      </c>
      <c r="E6" s="18">
        <f>D6*(1+E5)</f>
        <v>1774676859.2947266</v>
      </c>
      <c r="F6" s="18">
        <f>E6*(1+F5)</f>
        <v>2345900973.3802166</v>
      </c>
      <c r="G6" s="18">
        <f>F6*(1+G5)</f>
        <v>2961699978.8925233</v>
      </c>
      <c r="H6" s="18">
        <f>G6*(1+H5)</f>
        <v>3563295287.1050673</v>
      </c>
      <c r="I6" s="18">
        <f>H6*(1+I5)</f>
        <v>4075518984.626421</v>
      </c>
      <c r="J6" s="18">
        <f>I6*(1+J5)</f>
        <v>4419390898.954275</v>
      </c>
      <c r="K6" s="18">
        <f>J6*(1+K5)</f>
        <v>4529875671.428132</v>
      </c>
    </row>
    <row r="7" spans="1:11" x14ac:dyDescent="0.25">
      <c r="A7" t="s">
        <v>4</v>
      </c>
      <c r="B7" s="9">
        <f>Assumptions!B7</f>
        <v>0.031680671091475404</v>
      </c>
      <c r="C7" s="9">
        <f>Assumptions!B7</f>
        <v>0.031680671091475404</v>
      </c>
      <c r="D7" s="9">
        <f>Assumptions!B7</f>
        <v>0.031680671091475404</v>
      </c>
      <c r="E7" s="9">
        <f>Assumptions!B7</f>
        <v>0.031680671091475404</v>
      </c>
      <c r="F7" s="9">
        <f>Assumptions!B7</f>
        <v>0.031680671091475404</v>
      </c>
      <c r="G7" s="9">
        <f>Assumptions!B7</f>
        <v>0.031680671091475404</v>
      </c>
      <c r="H7" s="9">
        <f>Assumptions!B7</f>
        <v>0.031680671091475404</v>
      </c>
      <c r="I7" s="9">
        <f>Assumptions!B7</f>
        <v>0.031680671091475404</v>
      </c>
      <c r="J7" s="9">
        <f>Assumptions!B7</f>
        <v>0.031680671091475404</v>
      </c>
      <c r="K7" s="9">
        <f>Assumptions!B7</f>
        <v>0.031680671091475404</v>
      </c>
    </row>
    <row r="8" spans="1:11" x14ac:dyDescent="0.25">
      <c r="A8" t="s">
        <v>51</v>
      </c>
      <c r="B8" s="18">
        <f>B6*B7</f>
        <v>18836454.545309417</v>
      </c>
      <c r="C8" s="18">
        <f>C6*C7</f>
        <v>28254681.817964125</v>
      </c>
      <c r="D8" s="18">
        <f>D6*D7</f>
        <v>40704400.99400457</v>
      </c>
      <c r="E8" s="18">
        <f>E6*E7</f>
        <v>56222953.87296881</v>
      </c>
      <c r="F8" s="18">
        <f>F6*F7</f>
        <v>74319717.15083064</v>
      </c>
      <c r="G8" s="18">
        <f>G6*G7</f>
        <v>93828642.90292367</v>
      </c>
      <c r="H8" s="18">
        <f>H6*H7</f>
        <v>112887585.99258006</v>
      </c>
      <c r="I8" s="18">
        <f>I6*I7</f>
        <v>129115176.47901344</v>
      </c>
      <c r="J8" s="18">
        <f>J6*J7</f>
        <v>140009269.4944302</v>
      </c>
      <c r="K8" s="18">
        <f>K6*K7</f>
        <v>143509501.23179096</v>
      </c>
    </row>
    <row r="9" spans="1:11" x14ac:dyDescent="0.25">
      <c r="A9" t="s">
        <v>52</v>
      </c>
      <c r="B9" s="18">
        <f>B8*(1-Assumptions!B8)</f>
        <v>13185518.181716591</v>
      </c>
      <c r="C9" s="18">
        <f>C8*(1-Assumptions!B8)</f>
        <v>19778277.272574887</v>
      </c>
      <c r="D9" s="18">
        <f>D8*(1-Assumptions!B8)</f>
        <v>28493080.6958032</v>
      </c>
      <c r="E9" s="18">
        <f>E8*(1-Assumptions!B8)</f>
        <v>39356067.71107816</v>
      </c>
      <c r="F9" s="18">
        <f>F8*(1-Assumptions!B8)</f>
        <v>52023802.005581446</v>
      </c>
      <c r="G9" s="18">
        <f>G8*(1-Assumptions!B8)</f>
        <v>65680050.032046564</v>
      </c>
      <c r="H9" s="18">
        <f>H8*(1-Assumptions!B8)</f>
        <v>79021310.19480604</v>
      </c>
      <c r="I9" s="18">
        <f>I8*(1-Assumptions!B8)</f>
        <v>90380623.5353094</v>
      </c>
      <c r="J9" s="18">
        <f>J8*(1-Assumptions!B8)</f>
        <v>98006488.64610115</v>
      </c>
      <c r="K9" s="18">
        <f>K8*(1-Assumptions!B8)</f>
        <v>100456650.86225367</v>
      </c>
    </row>
    <row r="10" spans="1:11" x14ac:dyDescent="0.25">
      <c r="A10" t="s">
        <v>53</v>
      </c>
      <c r="B10" s="18">
        <f>B6*Assumptions!B9</f>
        <v>269307794.7675079</v>
      </c>
      <c r="C10" s="18">
        <f>C6*Assumptions!B9</f>
        <v>403961692.15126187</v>
      </c>
      <c r="D10" s="18">
        <f>D6*Assumptions!B9</f>
        <v>581957312.7554116</v>
      </c>
      <c r="E10" s="18">
        <f>E6*Assumptions!B9</f>
        <v>803828538.2434124</v>
      </c>
      <c r="F10" s="18">
        <f>F6*Assumptions!B9</f>
        <v>1062560848.9905106</v>
      </c>
      <c r="G10" s="18">
        <f>G6*Assumptions!B9</f>
        <v>1341483071.8505197</v>
      </c>
      <c r="H10" s="18">
        <f>H6*Assumptions!B9</f>
        <v>1613971820.8201563</v>
      </c>
      <c r="I10" s="18">
        <f>I6*Assumptions!B9</f>
        <v>1845980270.063054</v>
      </c>
      <c r="J10" s="18">
        <f>J6*Assumptions!B9</f>
        <v>2001734855.3496242</v>
      </c>
      <c r="K10" s="18">
        <f>K6*Assumptions!B9</f>
        <v>2051778226.7333648</v>
      </c>
    </row>
    <row r="11" spans="1:11" x14ac:dyDescent="0.25">
      <c r="A11" t="s">
        <v>54</v>
      </c>
      <c r="B11" s="18">
        <f>-B6*B19</f>
        <v>-1820882343.2166264</v>
      </c>
      <c r="C11" s="18">
        <f>-C6*C19</f>
        <v>-2473418100.2644024</v>
      </c>
      <c r="D11" s="18">
        <f>-D6*D19</f>
        <v>-3191722962.842131</v>
      </c>
      <c r="E11" s="18">
        <f>-E6*E19</f>
        <v>-3895370827.956122</v>
      </c>
      <c r="F11" s="18">
        <f>-F6*F19</f>
        <v>-4470811670.640032</v>
      </c>
      <c r="G11" s="18">
        <f>-G6*G19</f>
        <v>-4787942910.445403</v>
      </c>
      <c r="H11" s="18">
        <f>-H6*H19</f>
        <v>-4730069198.07028</v>
      </c>
      <c r="I11" s="18">
        <f>-I6*I19</f>
        <v>-4231468490.6750064</v>
      </c>
      <c r="J11" s="18">
        <f>-J6*J19</f>
        <v>-3310510489.41195</v>
      </c>
      <c r="K11" s="18">
        <f>-K6*K19</f>
        <v>-2083335392.6043954</v>
      </c>
    </row>
    <row r="12" spans="1:11" x14ac:dyDescent="0.25">
      <c r="A12" t="s">
        <v>55</v>
      </c>
      <c r="B12" s="18">
        <f>-(B6-Assumptions!B29)*Assumptions!B11</f>
        <v>2129195.609658157</v>
      </c>
      <c r="C12" s="18">
        <f>-(C6-B6)*Assumptions!B11</f>
        <v>6453686.450163724</v>
      </c>
      <c r="D12" s="18">
        <f>-(D6-C6)*Assumptions!B11</f>
        <v>8530966.776310172</v>
      </c>
      <c r="E12" s="18">
        <f>-(E6-D6)*Assumptions!B11</f>
        <v>10633834.960843014</v>
      </c>
      <c r="F12" s="18">
        <f>-(F6-E6)*Assumptions!B11</f>
        <v>12400511.537585525</v>
      </c>
      <c r="G12" s="18">
        <f>-(G6-F6)*Assumptions!B11</f>
        <v>13368172.814122839</v>
      </c>
      <c r="H12" s="18">
        <f>-(H6-G6)*Assumptions!B11</f>
        <v>13059829.542368526</v>
      </c>
      <c r="I12" s="18">
        <f>-(I6-H6)*Assumptions!B11</f>
        <v>11119691.403622435</v>
      </c>
      <c r="J12" s="18">
        <f>-(J6-I6)*Assumptions!B11</f>
        <v>7464999.35126337</v>
      </c>
      <c r="K12" s="18">
        <f>-(K6-J6)*Assumptions!B11</f>
        <v>2398476.6434151772</v>
      </c>
    </row>
    <row r="13" spans="1:11" x14ac:dyDescent="0.25">
      <c r="A13" s="19" t="s">
        <v>56</v>
      </c>
      <c r="B13" s="20">
        <f>B9+B10+B11+B12</f>
        <v>-1536259834.6577437</v>
      </c>
      <c r="C13" s="20">
        <f>C9+C10+C11+C12</f>
        <v>-2043224444.3904018</v>
      </c>
      <c r="D13" s="20">
        <f>D9+D10+D11+D12</f>
        <v>-2572741602.6146064</v>
      </c>
      <c r="E13" s="20">
        <f>E9+E10+E11+E12</f>
        <v>-3041552387.040788</v>
      </c>
      <c r="F13" s="20">
        <f>F9+F10+F11+F12</f>
        <v>-3343826508.106354</v>
      </c>
      <c r="G13" s="20">
        <f>G9+G10+G11+G12</f>
        <v>-3367411615.748714</v>
      </c>
      <c r="H13" s="20">
        <f>H9+H10+H11+H12</f>
        <v>-3024016237.5129495</v>
      </c>
      <c r="I13" s="20">
        <f>I9+I10+I11+I12</f>
        <v>-2283987905.6730204</v>
      </c>
      <c r="J13" s="20">
        <f>J9+J10+J11+J12</f>
        <v>-1203304146.0649614</v>
      </c>
      <c r="K13" s="20">
        <f>K9+K10+K11+K12</f>
        <v>71297961.63463804</v>
      </c>
    </row>
    <row r="14" spans="1:11" x14ac:dyDescent="0.25">
      <c r="A14" t="s">
        <v>57</v>
      </c>
      <c r="B14" s="21">
        <f>1/(1+Assumptions!$B$26)^(1-0.5*Assumptions!$B$32)</f>
        <v>0.9624362372038411</v>
      </c>
      <c r="C14" s="21">
        <f>1/(1+Assumptions!$B$26)^(2-0.5*Assumptions!$B$32)</f>
        <v>0.8914888166057954</v>
      </c>
      <c r="D14" s="21">
        <f>1/(1+Assumptions!$B$26)^(3-0.5*Assumptions!$B$32)</f>
        <v>0.8257713907803278</v>
      </c>
      <c r="E14" s="21">
        <f>1/(1+Assumptions!$B$26)^(4-0.5*Assumptions!$B$32)</f>
        <v>0.7648984228736584</v>
      </c>
      <c r="F14" s="21">
        <f>1/(1+Assumptions!$B$26)^(5-0.5*Assumptions!$B$32)</f>
        <v>0.7085127964553697</v>
      </c>
      <c r="G14" s="21">
        <f>1/(1+Assumptions!$B$26)^(6-0.5*Assumptions!$B$32)</f>
        <v>0.6562837204645721</v>
      </c>
      <c r="H14" s="21">
        <f>1/(1+Assumptions!$B$26)^(7-0.5*Assumptions!$B$32)</f>
        <v>0.6079047885960823</v>
      </c>
      <c r="I14" s="21">
        <f>1/(1+Assumptions!$B$26)^(8-0.5*Assumptions!$B$32)</f>
        <v>0.5630921817418396</v>
      </c>
      <c r="J14" s="21">
        <f>1/(1+Assumptions!$B$26)^(9-0.5*Assumptions!$B$32)</f>
        <v>0.5215830029420307</v>
      </c>
      <c r="K14" s="21">
        <f>1/(1+Assumptions!$B$26)^(10-0.5*Assumptions!$B$32)</f>
        <v>0.48313373507777174</v>
      </c>
    </row>
    <row r="15" spans="1:11" x14ac:dyDescent="0.25">
      <c r="A15" s="19" t="s">
        <v>58</v>
      </c>
      <c r="B15" s="20">
        <f>B13*B14</f>
        <v>-1478552134.6353939</v>
      </c>
      <c r="C15" s="20">
        <f>C13*C14</f>
        <v>-1821511741.989633</v>
      </c>
      <c r="D15" s="20">
        <f>D13*D14</f>
        <v>-2124496411.309473</v>
      </c>
      <c r="E15" s="20">
        <f>E13*E14</f>
        <v>-2326478623.93511</v>
      </c>
      <c r="F15" s="20">
        <f>F13*F14</f>
        <v>-2369143870.120027</v>
      </c>
      <c r="G15" s="20">
        <f>G13*G14</f>
        <v>-2209977423.5191817</v>
      </c>
      <c r="H15" s="20">
        <f>H13*H14</f>
        <v>-1838313951.5764298</v>
      </c>
      <c r="I15" s="20">
        <f>I13*I14</f>
        <v>-1286095732.877396</v>
      </c>
      <c r="J15" s="20">
        <f>J13*J14</f>
        <v>-627622989.9571586</v>
      </c>
      <c r="K15" s="20">
        <f>K13*K14</f>
        <v>34446450.50797435</v>
      </c>
    </row>
    <row r="17" spans="1:2" x14ac:dyDescent="0.25">
      <c r="A17" s="22" t="s">
        <v>59</v>
      </c>
      <c r="B17" s="23">
        <f>SUM(B15:K15)</f>
        <v>-16047746429.411829</v>
      </c>
    </row>
    <row r="19" spans="1:11" x14ac:dyDescent="0.25">
      <c r="A19" t="s">
        <v>7</v>
      </c>
      <c r="B19" s="9">
        <f>Assumptions!$B$10+($B$20-Assumptions!$B$10)*0/9</f>
        <v>3.0625070377740444</v>
      </c>
      <c r="C19" s="9">
        <f>Assumptions!$B$10+($B$20-Assumptions!$B$10)*1/9</f>
        <v>2.7733295958179234</v>
      </c>
      <c r="D19" s="9">
        <f>Assumptions!$B$10+($B$20-Assumptions!$B$10)*2/9</f>
        <v>2.4841521538618023</v>
      </c>
      <c r="E19" s="9">
        <f>Assumptions!$B$10+($B$20-Assumptions!$B$10)*3/9</f>
        <v>2.1949747119056813</v>
      </c>
      <c r="F19" s="9">
        <f>Assumptions!$B$10+($B$20-Assumptions!$B$10)*4/9</f>
        <v>1.90579726994956</v>
      </c>
      <c r="G19" s="9">
        <f>Assumptions!$B$10+($B$20-Assumptions!$B$10)*5/9</f>
        <v>1.616619827993439</v>
      </c>
      <c r="H19" s="9">
        <f>Assumptions!$B$10+($B$20-Assumptions!$B$10)*6/9</f>
        <v>1.327442386037318</v>
      </c>
      <c r="I19" s="9">
        <f>Assumptions!$B$10+($B$20-Assumptions!$B$10)*7/9</f>
        <v>1.0382649440811966</v>
      </c>
      <c r="J19" s="9">
        <f>Assumptions!$B$10+($B$20-Assumptions!$B$10)*8/9</f>
        <v>0.7490875021250756</v>
      </c>
      <c r="K19" s="9">
        <f>Assumptions!$B$10+($B$20-Assumptions!$B$10)*9/9</f>
        <v>0.4599100601689545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0.45991006016895447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71297961.63463804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100456650.86225367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0.31413714871205295</v>
      </c>
    </row>
    <row r="7" spans="1:2" x14ac:dyDescent="0.25">
      <c r="A7" t="s">
        <v>66</v>
      </c>
      <c r="B7" s="18">
        <f>-MAX(B5,0)*B6</f>
        <v>-31557165.87103056</v>
      </c>
    </row>
    <row r="8" spans="1:2" x14ac:dyDescent="0.25">
      <c r="A8" t="s">
        <v>67</v>
      </c>
      <c r="B8" s="18">
        <f>IF(OR(Assumptions!$B$33=0,Assumptions!B12&lt;=0),B5,MAX(B5+B7,0))</f>
        <v>68899484.9912231</v>
      </c>
    </row>
    <row r="9" spans="1:2" x14ac:dyDescent="0.25">
      <c r="A9" t="s">
        <v>68</v>
      </c>
      <c r="B9" s="18">
        <f>B8*(1+Assumptions!B12)/(Assumptions!B26-Assumptions!B12)</f>
        <v>1293843800.7122526</v>
      </c>
    </row>
    <row r="10" spans="1:2" x14ac:dyDescent="0.25">
      <c r="A10" t="s">
        <v>69</v>
      </c>
      <c r="B10" s="18">
        <f>B9/(1+Assumptions!B26)^(10-0.5*Assumptions!B32)</f>
        <v>625099588.0453308</v>
      </c>
    </row>
    <row r="11" spans="1:2" x14ac:dyDescent="0.25">
      <c r="A11" t="s">
        <v>70</v>
      </c>
      <c r="B11" s="18">
        <f>Forecast!B17+B10</f>
        <v>-15422646841.366499</v>
      </c>
    </row>
    <row r="12" spans="1:2" x14ac:dyDescent="0.25">
      <c r="A12" t="s">
        <v>71</v>
      </c>
      <c r="B12" s="18">
        <f>-Assumptions!B30</f>
        <v>-2482624000.000002</v>
      </c>
    </row>
    <row r="13" spans="1:2" x14ac:dyDescent="0.25">
      <c r="A13" t="s">
        <v>72</v>
      </c>
      <c r="B13" s="18">
        <f>B11+B12</f>
        <v>-17905270841.3665</v>
      </c>
    </row>
    <row r="14" spans="1:2" x14ac:dyDescent="0.25">
      <c r="A14" s="19" t="s">
        <v>73</v>
      </c>
      <c r="B14" s="24">
        <f>B13/Assumptions!B31</f>
        <v>-26.6190980416689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2195287727.9651556</v>
      </c>
    </row>
    <row r="18" spans="1:2" x14ac:dyDescent="0.25">
      <c r="A18" t="s">
        <v>68</v>
      </c>
      <c r="B18" s="18">
        <f>B17*Assumptions!B13</f>
        <v>43905754559.303116</v>
      </c>
    </row>
    <row r="19" spans="1:2" x14ac:dyDescent="0.25">
      <c r="A19" t="s">
        <v>69</v>
      </c>
      <c r="B19" s="18">
        <f>B18/(1+Assumptions!B26)^(10-0.5*Assumptions!B32)</f>
        <v>21212351191.64402</v>
      </c>
    </row>
    <row r="20" spans="1:2" x14ac:dyDescent="0.25">
      <c r="A20" t="s">
        <v>70</v>
      </c>
      <c r="B20" s="18">
        <f>Forecast!B17+B19</f>
        <v>5164604762.232191</v>
      </c>
    </row>
    <row r="21" spans="1:2" x14ac:dyDescent="0.25">
      <c r="A21" t="s">
        <v>71</v>
      </c>
      <c r="B21" s="18">
        <f>-Assumptions!B30</f>
        <v>-2482624000</v>
      </c>
    </row>
    <row r="22" spans="1:2" x14ac:dyDescent="0.25">
      <c r="A22" t="s">
        <v>72</v>
      </c>
      <c r="B22" s="18">
        <f>B20+B21</f>
        <v>2681980762.232191</v>
      </c>
    </row>
    <row r="23" spans="1:2" x14ac:dyDescent="0.25">
      <c r="A23" s="19" t="s">
        <v>73</v>
      </c>
      <c r="B23" s="25">
        <f>B22/Assumptions!B31</f>
        <v>3.987200723643456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5.87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-26.6190980416689</v>
      </c>
    </row>
    <row r="29" spans="1:2" x14ac:dyDescent="0.25">
      <c r="A29" s="19" t="s">
        <v>81</v>
      </c>
      <c r="B29" s="11">
        <f>B28/B26-1</f>
        <v>-5.534769683418892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0.059583</v>
      </c>
      <c r="B5" s="31">
        <v>-27.99635652595025</v>
      </c>
      <c r="C5" s="31">
        <v>-28.02100091506037</v>
      </c>
      <c r="D5" s="31">
        <v>-28.045645304170492</v>
      </c>
      <c r="E5" s="31">
        <v>-28.070289693280603</v>
      </c>
      <c r="F5" s="31">
        <v>-28.094934082390722</v>
      </c>
    </row>
    <row r="6" spans="1:6" x14ac:dyDescent="0.25">
      <c r="A6" s="30">
        <v>0.069583</v>
      </c>
      <c r="B6" s="31">
        <v>-27.304695659885937</v>
      </c>
      <c r="C6" s="31">
        <v>-27.324526705187132</v>
      </c>
      <c r="D6" s="31">
        <v>-27.34435775048833</v>
      </c>
      <c r="E6" s="31">
        <v>-27.36418879578952</v>
      </c>
      <c r="F6" s="31">
        <v>-27.38401984109072</v>
      </c>
    </row>
    <row r="7" spans="1:6" x14ac:dyDescent="0.25">
      <c r="A7" s="30">
        <v>0.079583</v>
      </c>
      <c r="B7" s="31">
        <v>-26.58648735715726</v>
      </c>
      <c r="C7" s="31">
        <v>-26.602795399104895</v>
      </c>
      <c r="D7" s="32">
        <v>-26.619103441052538</v>
      </c>
      <c r="E7" s="31">
        <v>-26.635411483000176</v>
      </c>
      <c r="F7" s="31">
        <v>-26.651719524947808</v>
      </c>
    </row>
    <row r="8" spans="1:6" x14ac:dyDescent="0.25">
      <c r="A8" s="30">
        <v>0.089583</v>
      </c>
      <c r="B8" s="31">
        <v>-25.86644171651301</v>
      </c>
      <c r="C8" s="31">
        <v>-25.88007902247408</v>
      </c>
      <c r="D8" s="31">
        <v>-25.893716328435147</v>
      </c>
      <c r="E8" s="31">
        <v>-25.907353634396227</v>
      </c>
      <c r="F8" s="31">
        <v>-25.920990940357296</v>
      </c>
    </row>
    <row r="9" spans="1:6" x14ac:dyDescent="0.25">
      <c r="A9" s="30">
        <v>0.099583</v>
      </c>
      <c r="B9" s="31">
        <v>-25.157976641229027</v>
      </c>
      <c r="C9" s="31">
        <v>-25.16953386523051</v>
      </c>
      <c r="D9" s="31">
        <v>-25.18109108923201</v>
      </c>
      <c r="E9" s="31">
        <v>-25.192648313233494</v>
      </c>
      <c r="F9" s="31">
        <v>-25.20420553723498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496492000</v>
      </c>
      <c r="C5" s="18">
        <v>427209000</v>
      </c>
      <c r="D5" s="18">
        <v>404337000</v>
      </c>
      <c r="E5" s="18">
        <v>362369000</v>
      </c>
      <c r="F5" s="6" t="s">
        <v>91</v>
      </c>
    </row>
    <row r="6" spans="1:6" x14ac:dyDescent="0.25">
      <c r="A6" t="s">
        <v>51</v>
      </c>
      <c r="B6" s="18">
        <v>-36141000</v>
      </c>
      <c r="C6" s="18">
        <v>-3833000</v>
      </c>
      <c r="D6" s="18">
        <v>28504000</v>
      </c>
      <c r="E6" s="18">
        <v>50004000</v>
      </c>
      <c r="F6" s="6" t="s">
        <v>92</v>
      </c>
    </row>
    <row r="7" spans="1:6" x14ac:dyDescent="0.25">
      <c r="A7" t="s">
        <v>93</v>
      </c>
      <c r="B7" s="18">
        <v>262506000</v>
      </c>
      <c r="C7" s="18">
        <v>208407000</v>
      </c>
      <c r="D7" s="18">
        <v>167699000</v>
      </c>
      <c r="E7" s="18">
        <v>137870000</v>
      </c>
      <c r="F7" s="6" t="s">
        <v>94</v>
      </c>
    </row>
    <row r="8" spans="1:6" x14ac:dyDescent="0.25">
      <c r="A8" t="s">
        <v>95</v>
      </c>
      <c r="B8" s="18">
        <v>2107791000</v>
      </c>
      <c r="C8" s="18">
        <v>1595800000</v>
      </c>
      <c r="D8" s="18">
        <v>938452000</v>
      </c>
      <c r="E8" s="18">
        <v>705999000</v>
      </c>
      <c r="F8" s="6" t="s">
        <v>96</v>
      </c>
    </row>
    <row r="9" spans="1:6" x14ac:dyDescent="0.25">
      <c r="A9" t="s">
        <v>97</v>
      </c>
      <c r="B9" s="18">
        <v>-28511000</v>
      </c>
      <c r="C9" s="18">
        <v>-15848000</v>
      </c>
      <c r="D9" s="18">
        <v>-10644000</v>
      </c>
      <c r="E9" s="18">
        <v>0</v>
      </c>
      <c r="F9" s="6" t="s">
        <v>98</v>
      </c>
    </row>
    <row r="10" spans="1:6" x14ac:dyDescent="0.25">
      <c r="A10" t="s">
        <v>99</v>
      </c>
      <c r="B10" s="18">
        <v>3358602000</v>
      </c>
      <c r="C10" s="18">
        <v>1206202000</v>
      </c>
      <c r="D10" s="18">
        <v>1455082000</v>
      </c>
      <c r="E10" s="18">
        <v>1442073000</v>
      </c>
      <c r="F10" s="6" t="s">
        <v>100</v>
      </c>
    </row>
    <row r="11" spans="1:6" x14ac:dyDescent="0.25">
      <c r="A11" t="s">
        <v>101</v>
      </c>
      <c r="B11" s="18">
        <v>875978000</v>
      </c>
      <c r="C11" s="18">
        <v>243688000</v>
      </c>
      <c r="D11" s="18">
        <v>1236192000</v>
      </c>
      <c r="E11" s="18">
        <v>765841000</v>
      </c>
      <c r="F11" s="6" t="s">
        <v>102</v>
      </c>
    </row>
    <row r="12" spans="1:6" x14ac:dyDescent="0.25">
      <c r="A12" t="s">
        <v>34</v>
      </c>
      <c r="B12" s="34">
        <v>672647541</v>
      </c>
      <c r="C12" s="34">
        <v>641529670</v>
      </c>
      <c r="D12" s="34">
        <v>538405162</v>
      </c>
      <c r="E12" s="34">
        <v>475038230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54" customHeight="1" spans="1:6" x14ac:dyDescent="0.25">
      <c r="A18" s="35" t="s">
        <v>107</v>
      </c>
      <c r="B18" s="35"/>
      <c r="C18" s="35"/>
      <c r="D18" s="35"/>
      <c r="E18" s="35"/>
      <c r="F18" s="35"/>
    </row>
    <row r="19" ht="38" customHeight="1" spans="1:6" x14ac:dyDescent="0.25">
      <c r="A19" s="35" t="s">
        <v>108</v>
      </c>
      <c r="B19" s="35"/>
      <c r="C19" s="35"/>
      <c r="D19" s="35"/>
      <c r="E19" s="35"/>
      <c r="F19" s="35"/>
    </row>
    <row r="21" spans="1:1" x14ac:dyDescent="0.25">
      <c r="A21" s="36" t="s">
        <v>109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